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9.xml" ContentType="application/vnd.openxmlformats-officedocument.drawingml.chart+xml"/>
  <Override PartName="/xl/theme/themeOverride7.xml" ContentType="application/vnd.openxmlformats-officedocument.themeOverride+xml"/>
  <Override PartName="/xl/charts/chart10.xml" ContentType="application/vnd.openxmlformats-officedocument.drawingml.chart+xml"/>
  <Override PartName="/xl/theme/themeOverride8.xml" ContentType="application/vnd.openxmlformats-officedocument.themeOverrid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theme/themeOverride9.xml" ContentType="application/vnd.openxmlformats-officedocument.themeOverride+xml"/>
  <Override PartName="/xl/charts/chart12.xml" ContentType="application/vnd.openxmlformats-officedocument.drawingml.chart+xml"/>
  <Override PartName="/xl/theme/themeOverride10.xml" ContentType="application/vnd.openxmlformats-officedocument.themeOverride+xml"/>
  <Override PartName="/xl/charts/chart13.xml" ContentType="application/vnd.openxmlformats-officedocument.drawingml.chart+xml"/>
  <Override PartName="/xl/theme/themeOverride11.xml" ContentType="application/vnd.openxmlformats-officedocument.themeOverride+xml"/>
  <Override PartName="/xl/charts/chart14.xml" ContentType="application/vnd.openxmlformats-officedocument.drawingml.chart+xml"/>
  <Override PartName="/xl/theme/themeOverride12.xml" ContentType="application/vnd.openxmlformats-officedocument.themeOverride+xml"/>
  <Override PartName="/xl/charts/chart15.xml" ContentType="application/vnd.openxmlformats-officedocument.drawingml.chart+xml"/>
  <Override PartName="/xl/theme/themeOverride13.xml" ContentType="application/vnd.openxmlformats-officedocument.themeOverride+xml"/>
  <Override PartName="/xl/charts/chart16.xml" ContentType="application/vnd.openxmlformats-officedocument.drawingml.chart+xml"/>
  <Override PartName="/xl/theme/themeOverride14.xml" ContentType="application/vnd.openxmlformats-officedocument.themeOverride+xml"/>
  <Override PartName="/xl/charts/chart1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9.xml" ContentType="application/vnd.openxmlformats-officedocument.drawingml.chart+xml"/>
  <Override PartName="/xl/theme/themeOverride15.xml" ContentType="application/vnd.openxmlformats-officedocument.themeOverride+xml"/>
  <Override PartName="/xl/charts/chart20.xml" ContentType="application/vnd.openxmlformats-officedocument.drawingml.chart+xml"/>
  <Override PartName="/xl/theme/themeOverride16.xml" ContentType="application/vnd.openxmlformats-officedocument.themeOverride+xml"/>
  <Override PartName="/xl/drawings/drawing3.xml" ContentType="application/vnd.openxmlformats-officedocument.drawing+xml"/>
  <Override PartName="/xl/charts/chart21.xml" ContentType="application/vnd.openxmlformats-officedocument.drawingml.chart+xml"/>
  <Override PartName="/xl/theme/themeOverride17.xml" ContentType="application/vnd.openxmlformats-officedocument.themeOverride+xml"/>
  <Override PartName="/xl/charts/chart22.xml" ContentType="application/vnd.openxmlformats-officedocument.drawingml.chart+xml"/>
  <Override PartName="/xl/theme/themeOverride18.xml" ContentType="application/vnd.openxmlformats-officedocument.themeOverride+xml"/>
  <Override PartName="/xl/charts/chart23.xml" ContentType="application/vnd.openxmlformats-officedocument.drawingml.chart+xml"/>
  <Override PartName="/xl/theme/themeOverride19.xml" ContentType="application/vnd.openxmlformats-officedocument.themeOverride+xml"/>
  <Override PartName="/xl/charts/chart24.xml" ContentType="application/vnd.openxmlformats-officedocument.drawingml.chart+xml"/>
  <Override PartName="/xl/theme/themeOverride20.xml" ContentType="application/vnd.openxmlformats-officedocument.themeOverride+xml"/>
  <Override PartName="/xl/charts/chart25.xml" ContentType="application/vnd.openxmlformats-officedocument.drawingml.chart+xml"/>
  <Override PartName="/xl/theme/themeOverride21.xml" ContentType="application/vnd.openxmlformats-officedocument.themeOverride+xml"/>
  <Override PartName="/xl/charts/chart26.xml" ContentType="application/vnd.openxmlformats-officedocument.drawingml.chart+xml"/>
  <Override PartName="/xl/theme/themeOverride22.xml" ContentType="application/vnd.openxmlformats-officedocument.themeOverride+xml"/>
  <Override PartName="/xl/charts/chart2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2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29.xml" ContentType="application/vnd.openxmlformats-officedocument.drawingml.chart+xml"/>
  <Override PartName="/xl/theme/themeOverride23.xml" ContentType="application/vnd.openxmlformats-officedocument.themeOverride+xml"/>
  <Override PartName="/xl/charts/chart30.xml" ContentType="application/vnd.openxmlformats-officedocument.drawingml.chart+xml"/>
  <Override PartName="/xl/theme/themeOverride24.xml" ContentType="application/vnd.openxmlformats-officedocument.themeOverride+xml"/>
  <Override PartName="/xl/drawings/drawing4.xml" ContentType="application/vnd.openxmlformats-officedocument.drawing+xml"/>
  <Override PartName="/xl/charts/chart31.xml" ContentType="application/vnd.openxmlformats-officedocument.drawingml.chart+xml"/>
  <Override PartName="/xl/theme/themeOverride25.xml" ContentType="application/vnd.openxmlformats-officedocument.themeOverride+xml"/>
  <Override PartName="/xl/charts/chart32.xml" ContentType="application/vnd.openxmlformats-officedocument.drawingml.chart+xml"/>
  <Override PartName="/xl/theme/themeOverride26.xml" ContentType="application/vnd.openxmlformats-officedocument.themeOverride+xml"/>
  <Override PartName="/xl/charts/chart33.xml" ContentType="application/vnd.openxmlformats-officedocument.drawingml.chart+xml"/>
  <Override PartName="/xl/theme/themeOverride27.xml" ContentType="application/vnd.openxmlformats-officedocument.themeOverride+xml"/>
  <Override PartName="/xl/charts/chart34.xml" ContentType="application/vnd.openxmlformats-officedocument.drawingml.chart+xml"/>
  <Override PartName="/xl/theme/themeOverride28.xml" ContentType="application/vnd.openxmlformats-officedocument.themeOverride+xml"/>
  <Override PartName="/xl/charts/chart35.xml" ContentType="application/vnd.openxmlformats-officedocument.drawingml.chart+xml"/>
  <Override PartName="/xl/theme/themeOverride29.xml" ContentType="application/vnd.openxmlformats-officedocument.themeOverride+xml"/>
  <Override PartName="/xl/charts/chart36.xml" ContentType="application/vnd.openxmlformats-officedocument.drawingml.chart+xml"/>
  <Override PartName="/xl/theme/themeOverride30.xml" ContentType="application/vnd.openxmlformats-officedocument.themeOverride+xml"/>
  <Override PartName="/xl/charts/chart3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3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39.xml" ContentType="application/vnd.openxmlformats-officedocument.drawingml.chart+xml"/>
  <Override PartName="/xl/theme/themeOverride31.xml" ContentType="application/vnd.openxmlformats-officedocument.themeOverride+xml"/>
  <Override PartName="/xl/charts/chart40.xml" ContentType="application/vnd.openxmlformats-officedocument.drawingml.chart+xml"/>
  <Override PartName="/xl/theme/themeOverride32.xml" ContentType="application/vnd.openxmlformats-officedocument.themeOverride+xml"/>
  <Override PartName="/xl/charts/chart41.xml" ContentType="application/vnd.openxmlformats-officedocument.drawingml.chart+xml"/>
  <Override PartName="/xl/theme/themeOverride33.xml" ContentType="application/vnd.openxmlformats-officedocument.themeOverride+xml"/>
  <Override PartName="/xl/charts/chart42.xml" ContentType="application/vnd.openxmlformats-officedocument.drawingml.chart+xml"/>
  <Override PartName="/xl/theme/themeOverride34.xml" ContentType="application/vnd.openxmlformats-officedocument.themeOverride+xml"/>
  <Override PartName="/xl/charts/chart4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44.xml" ContentType="application/vnd.openxmlformats-officedocument.drawingml.chart+xml"/>
  <Override PartName="/xl/theme/themeOverride35.xml" ContentType="application/vnd.openxmlformats-officedocument.themeOverride+xml"/>
  <Override PartName="/xl/charts/chart45.xml" ContentType="application/vnd.openxmlformats-officedocument.drawingml.chart+xml"/>
  <Override PartName="/xl/theme/themeOverride36.xml" ContentType="application/vnd.openxmlformats-officedocument.themeOverride+xml"/>
  <Override PartName="/xl/drawings/drawing5.xml" ContentType="application/vnd.openxmlformats-officedocument.drawing+xml"/>
  <Override PartName="/xl/charts/chart46.xml" ContentType="application/vnd.openxmlformats-officedocument.drawingml.chart+xml"/>
  <Override PartName="/xl/theme/themeOverride37.xml" ContentType="application/vnd.openxmlformats-officedocument.themeOverride+xml"/>
  <Override PartName="/xl/charts/chart47.xml" ContentType="application/vnd.openxmlformats-officedocument.drawingml.chart+xml"/>
  <Override PartName="/xl/theme/themeOverride38.xml" ContentType="application/vnd.openxmlformats-officedocument.themeOverride+xml"/>
  <Override PartName="/xl/charts/chart48.xml" ContentType="application/vnd.openxmlformats-officedocument.drawingml.chart+xml"/>
  <Override PartName="/xl/theme/themeOverride39.xml" ContentType="application/vnd.openxmlformats-officedocument.themeOverride+xml"/>
  <Override PartName="/xl/charts/chart49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50.xml" ContentType="application/vnd.openxmlformats-officedocument.drawingml.chart+xml"/>
  <Override PartName="/xl/theme/themeOverride40.xml" ContentType="application/vnd.openxmlformats-officedocument.themeOverride+xml"/>
  <Override PartName="/xl/drawings/drawing6.xml" ContentType="application/vnd.openxmlformats-officedocument.drawing+xml"/>
  <Override PartName="/xl/charts/chart51.xml" ContentType="application/vnd.openxmlformats-officedocument.drawingml.chart+xml"/>
  <Override PartName="/xl/theme/themeOverride41.xml" ContentType="application/vnd.openxmlformats-officedocument.themeOverride+xml"/>
  <Override PartName="/xl/charts/chart52.xml" ContentType="application/vnd.openxmlformats-officedocument.drawingml.chart+xml"/>
  <Override PartName="/xl/theme/themeOverride42.xml" ContentType="application/vnd.openxmlformats-officedocument.themeOverride+xml"/>
  <Override PartName="/xl/charts/chart53.xml" ContentType="application/vnd.openxmlformats-officedocument.drawingml.chart+xml"/>
  <Override PartName="/xl/theme/themeOverride43.xml" ContentType="application/vnd.openxmlformats-officedocument.themeOverride+xml"/>
  <Override PartName="/xl/charts/chart5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55.xml" ContentType="application/vnd.openxmlformats-officedocument.drawingml.chart+xml"/>
  <Override PartName="/xl/theme/themeOverride44.xml" ContentType="application/vnd.openxmlformats-officedocument.themeOverride+xml"/>
  <Override PartName="/xl/drawings/drawing7.xml" ContentType="application/vnd.openxmlformats-officedocument.drawing+xml"/>
  <Override PartName="/xl/charts/chart56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57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58.xml" ContentType="application/vnd.openxmlformats-officedocument.drawingml.chart+xml"/>
  <Override PartName="/xl/theme/themeOverride45.xml" ContentType="application/vnd.openxmlformats-officedocument.themeOverride+xml"/>
  <Override PartName="/xl/charts/chart59.xml" ContentType="application/vnd.openxmlformats-officedocument.drawingml.chart+xml"/>
  <Override PartName="/xl/theme/themeOverride46.xml" ContentType="application/vnd.openxmlformats-officedocument.themeOverride+xml"/>
  <Override PartName="/xl/charts/chart60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1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8.xml" ContentType="application/vnd.openxmlformats-officedocument.drawing+xml"/>
  <Override PartName="/xl/charts/chart62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63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64.xml" ContentType="application/vnd.openxmlformats-officedocument.drawingml.chart+xml"/>
  <Override PartName="/xl/theme/themeOverride47.xml" ContentType="application/vnd.openxmlformats-officedocument.themeOverride+xml"/>
  <Override PartName="/xl/charts/chart65.xml" ContentType="application/vnd.openxmlformats-officedocument.drawingml.chart+xml"/>
  <Override PartName="/xl/theme/themeOverride48.xml" ContentType="application/vnd.openxmlformats-officedocument.themeOverride+xml"/>
  <Override PartName="/xl/charts/chart66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67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studentclearinghouse.sharepoint.com/sites/ResearchServicesfromZdrive/Shared Documents/Research Services/PUBLICATIONS/HS Benchmarks/2024/To Comm/"/>
    </mc:Choice>
  </mc:AlternateContent>
  <xr:revisionPtr revIDLastSave="2337" documentId="8_{CD1B642F-540D-4996-B24C-2B94415F33DF}" xr6:coauthVersionLast="47" xr6:coauthVersionMax="47" xr10:uidLastSave="{5202564E-839F-4EEE-95B3-873FB7D6F0EE}"/>
  <bookViews>
    <workbookView xWindow="-108" yWindow="-108" windowWidth="23256" windowHeight="12576" tabRatio="801" xr2:uid="{DF526A1E-D271-4D69-98D1-98548A85F9F7}"/>
  </bookViews>
  <sheets>
    <sheet name="List of Tables" sheetId="18" r:id="rId1"/>
    <sheet name="1 Public Non-Charter Overall" sheetId="2" r:id="rId2"/>
    <sheet name="2 Public Non-Charter Majors" sheetId="3" r:id="rId3"/>
    <sheet name="3 Public Non-Charter Poverty" sheetId="4" r:id="rId4"/>
    <sheet name="4 Public Non-Charter Income" sheetId="12" r:id="rId5"/>
    <sheet name="5 Public Non-Charter Minority" sheetId="11" r:id="rId6"/>
    <sheet name="6 Public Non-Charter Urbanicity" sheetId="13" r:id="rId7"/>
    <sheet name="7 Public Charter Schools" sheetId="14" r:id="rId8"/>
    <sheet name="8 Private Schools" sheetId="15" r:id="rId9"/>
    <sheet name="9 Income Differences" sheetId="10" r:id="rId10"/>
    <sheet name="10 Poverty Differences" sheetId="17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7" l="1"/>
  <c r="A5" i="10"/>
  <c r="A57" i="10"/>
  <c r="A29" i="10"/>
  <c r="L29" i="10"/>
  <c r="A4" i="14"/>
  <c r="L57" i="17"/>
  <c r="A57" i="17"/>
  <c r="L57" i="10"/>
  <c r="L29" i="17"/>
  <c r="A29" i="17"/>
  <c r="M5" i="17"/>
  <c r="M5" i="10"/>
  <c r="AA128" i="13"/>
  <c r="AA122" i="13"/>
  <c r="AA98" i="13"/>
  <c r="AA92" i="13"/>
  <c r="AA68" i="13"/>
  <c r="AA63" i="13"/>
  <c r="AA38" i="13"/>
  <c r="AA33" i="13"/>
  <c r="AA9" i="13"/>
  <c r="AA4" i="13"/>
  <c r="N4" i="13"/>
  <c r="N9" i="13"/>
  <c r="N33" i="13"/>
  <c r="N38" i="13"/>
  <c r="N63" i="13"/>
  <c r="A128" i="15"/>
  <c r="N68" i="13"/>
  <c r="A122" i="15"/>
  <c r="N92" i="13"/>
  <c r="A98" i="15"/>
  <c r="N98" i="13"/>
  <c r="A92" i="15"/>
  <c r="N122" i="13"/>
  <c r="A68" i="15"/>
  <c r="N128" i="13"/>
  <c r="A63" i="15"/>
  <c r="A128" i="13"/>
  <c r="A122" i="13"/>
  <c r="A38" i="15"/>
  <c r="A33" i="15"/>
  <c r="A98" i="13"/>
  <c r="A92" i="13"/>
  <c r="A9" i="15"/>
  <c r="A4" i="15"/>
  <c r="A68" i="13"/>
  <c r="A63" i="13"/>
  <c r="A38" i="13"/>
  <c r="A33" i="13"/>
  <c r="A9" i="13"/>
  <c r="A4" i="13"/>
  <c r="A128" i="14"/>
  <c r="A122" i="14"/>
  <c r="A98" i="14"/>
  <c r="A92" i="14"/>
  <c r="A68" i="14"/>
  <c r="A63" i="14"/>
  <c r="A38" i="14"/>
  <c r="A33" i="14"/>
  <c r="A9" i="14"/>
  <c r="N128" i="12"/>
  <c r="A128" i="12"/>
  <c r="N122" i="12"/>
  <c r="A122" i="12"/>
  <c r="N98" i="12"/>
  <c r="A98" i="12"/>
  <c r="N92" i="12"/>
  <c r="A92" i="12"/>
  <c r="A68" i="12"/>
  <c r="N68" i="12"/>
  <c r="N63" i="12"/>
  <c r="A63" i="12"/>
  <c r="N38" i="12"/>
  <c r="N33" i="12"/>
  <c r="A38" i="12"/>
  <c r="A33" i="12"/>
  <c r="N9" i="12"/>
  <c r="A9" i="12"/>
  <c r="N4" i="12"/>
  <c r="A4" i="12"/>
  <c r="N128" i="11"/>
  <c r="A128" i="11"/>
  <c r="N122" i="11"/>
  <c r="A122" i="11"/>
  <c r="N98" i="11"/>
  <c r="A98" i="11"/>
  <c r="N92" i="11"/>
  <c r="A92" i="11"/>
  <c r="N68" i="11"/>
  <c r="A68" i="11"/>
  <c r="N63" i="11"/>
  <c r="A63" i="11"/>
  <c r="N38" i="11"/>
  <c r="A38" i="11"/>
  <c r="N33" i="11"/>
  <c r="A33" i="11"/>
  <c r="N9" i="11"/>
  <c r="A9" i="11"/>
  <c r="N4" i="11"/>
  <c r="A4" i="11"/>
  <c r="N98" i="4" l="1"/>
  <c r="N92" i="4"/>
  <c r="A98" i="4"/>
  <c r="A92" i="4"/>
  <c r="N122" i="4"/>
  <c r="N128" i="4"/>
  <c r="A122" i="4"/>
  <c r="A128" i="4"/>
  <c r="N68" i="4"/>
  <c r="N63" i="4"/>
  <c r="A68" i="4"/>
  <c r="A63" i="4"/>
  <c r="N38" i="4"/>
  <c r="N33" i="4"/>
  <c r="A38" i="4"/>
  <c r="A33" i="4"/>
  <c r="N9" i="4"/>
  <c r="N4" i="4"/>
  <c r="A9" i="4"/>
  <c r="A4" i="4"/>
</calcChain>
</file>

<file path=xl/sharedStrings.xml><?xml version="1.0" encoding="utf-8"?>
<sst xmlns="http://schemas.openxmlformats.org/spreadsheetml/2006/main" count="1827" uniqueCount="495">
  <si>
    <t>High School Benchmarks Report</t>
  </si>
  <si>
    <t>Tab</t>
  </si>
  <si>
    <t>List of Tables</t>
  </si>
  <si>
    <t>1 Public Non-Charter Overall</t>
  </si>
  <si>
    <t>Table 1.  Rates of College Enrollment in the First Fall after High School Graduation for Class of 2023</t>
  </si>
  <si>
    <t>Table 2.  Rates of College Enrollment in the First Fall after High School Graduation for Class of 2022</t>
  </si>
  <si>
    <t>Table 3.  Rates of College Enrollment in the First Year after High School Graduation for Class of 2022</t>
  </si>
  <si>
    <t>Table 4.  Rates of College Enrollment in the First Year after High School Graduation for Class of 2021</t>
  </si>
  <si>
    <t>Table 5.  Rates of College Enrollment in the First Two Years after High School Graduation for Class of 2021</t>
  </si>
  <si>
    <t>Table 6.  Rates of College Enrollment in the First Two Years after High School Graduation for Class of 2020</t>
  </si>
  <si>
    <t>Table 7.  Persistence Rates from First to Second Year of College for Class of 2021</t>
  </si>
  <si>
    <t>Table 8.  Persistence Rates from First to Second Year of College for Class of 2020</t>
  </si>
  <si>
    <t>Table 9.  Six-Year Completion Rates for Class of 2017</t>
  </si>
  <si>
    <t>Table 10.  Six-Year Completion Rates for Class of 2016</t>
  </si>
  <si>
    <t>Table 11.  Six-Year Completion Rates for Class of 2017, STEM</t>
  </si>
  <si>
    <t>Table 12.  Six-Year Completion Rates for Class of 2017, STEM Fields of Study</t>
  </si>
  <si>
    <t>Table 13.  Rates of College Enrollment in the First Fall after High School Graduation for Class of 2023 by Income and Minority Levels</t>
  </si>
  <si>
    <t>Table 14.  Persistence Rates from First to Second Year of College for Class of 2021 by Income and Minority Levels</t>
  </si>
  <si>
    <t>Table 15.  Six-Year College Completion Rates for Class of 2017 by Income and Minority Levels</t>
  </si>
  <si>
    <t>2 Public Non-Charter Majors</t>
  </si>
  <si>
    <t>Table 16. Top Five Majors for Students with First Fall Enrollment, Class of 2023</t>
  </si>
  <si>
    <t>Table 17.  Top Five Majors for Students with First Year Persistence, Class of 2021</t>
  </si>
  <si>
    <t>Table 18.  Top Five Majors for Students with Completion within Six Years, Class of 2017</t>
  </si>
  <si>
    <t>3 Public Non-Charter Poverty</t>
  </si>
  <si>
    <t>Table 19.  College Enrollment Rates in the First Fall after High School Graduation for Classes 2022 and 2023, School Percentile Distribution</t>
  </si>
  <si>
    <t>Table 20.  College Enrollment Rates in the First Fall after High School Graduation for Classes 2022 and 2023, Student-Weighted Totals</t>
  </si>
  <si>
    <t>Table 21.  College Enrollment Rates in the First Year after High School Graduation for Classes 2021 and 2022, School Percentile Distribution</t>
  </si>
  <si>
    <t>Table 22.  College Enrollment Rates in the First Year after High School Graduation for Classes 2021 and 2022, Student-Weighted Totals</t>
  </si>
  <si>
    <t>Table 23.  College Enrollment Rates in the First Two Years after High School Graduation for Classes 2019 and 2020, School Percentile Distribution</t>
  </si>
  <si>
    <t>Table 24.  College Enrollment Rates in the First Two Years after High School Graduation for Classes 2019 and 2020, Student-Weighted Totals</t>
  </si>
  <si>
    <t>Table 25.  Persistence Rates from First to Second Year of College for Class of 2021, School Percentile Distribution</t>
  </si>
  <si>
    <t>Table 26.  Persistence Rates from First to Second Year of College for Class of 2021, Student-Weighted Totals</t>
  </si>
  <si>
    <t>Table 27.  Six-Year Completion Rates for Class of 2017, School Percentile Distribution</t>
  </si>
  <si>
    <t>Table 28.  Six-Year Completion Rates for Class of 2017, Student-Weighted Totals</t>
  </si>
  <si>
    <t>4 Public Non-Charter Income</t>
  </si>
  <si>
    <t>Table 29.  College Enrollment Rates in the First Fall after High School Graduation for Classes 2022 and 2023, School Percentile Distribution</t>
  </si>
  <si>
    <t>Table 30.  College Enrollment Rates in the First Fall after High School Graduation for Classes 2022 and 2023, Student-Weighted Totals</t>
  </si>
  <si>
    <t>Table 31.  College Enrollment Rates in the First Year after High School Graduation for Classes 2021 and 2022, School Percentile Distribution</t>
  </si>
  <si>
    <t>Table 32.  College Enrollment Rates in the First Year after High School Graduation for Classes 2021 and 2022, Student-Weighted Totals</t>
  </si>
  <si>
    <t>Table 33.  College Enrollment Rates in the First Two Years after High School Graduation for Classes 2020 and 2021, School Percentile Distribution</t>
  </si>
  <si>
    <t>Table 34.  College Enrollment Rates in the First Two Years after High School Graduation for Classes 2020 and 2021, Student-Weighted Totals</t>
  </si>
  <si>
    <t>Table 35.  Persistence Rates from First to Second Year of College for Class of 2021, School Percentile Distribution</t>
  </si>
  <si>
    <t>Table 36.  Persistence Rates from First to Second Year of College for Class of 2021, Student-Weighted Totals</t>
  </si>
  <si>
    <t>Table 37.  Six-Year Completion Rates for Class of 2017, School Percentile Distribution</t>
  </si>
  <si>
    <t>Table 38.  Six-Year Completion Rates for Class of 2017, Student-Weighted Totals</t>
  </si>
  <si>
    <t>5 Public Non-Charter Minorirty</t>
  </si>
  <si>
    <t>Table 39.  College Enrollment Rates in the First Fall after High School Graduation for Classes 2022 and 2023, School Percentile Distribution</t>
  </si>
  <si>
    <t>Table 40.  College Enrollment Rates in the First Fall after High School Graduation for Classes 2022 and 2023, Student-Weighted Totals</t>
  </si>
  <si>
    <t>Table 41.  College Enrollment Rates in the First Year after High School Graduation for Classes 2021 and 2022, School Percentile Distribution</t>
  </si>
  <si>
    <t>Table 42.  College Enrollment Rates in the First Year after High School Graduation for Classes 2021 and 2022, Student-Weighted Totals</t>
  </si>
  <si>
    <t>Table 43.  College Enrollment Rates in the First Two Years after High School Graduation for Classes 2020 and 2021, School Percentile Distribution</t>
  </si>
  <si>
    <t>Table 44.  College Enrollment Rates in the First Two Years after High School Graduation for Classes 2020 and 2021, Student-Weighted Totals</t>
  </si>
  <si>
    <t>Table 45.  Persistence Rates from First to Second Year of College for Class of 2021, School Percentile Distribution</t>
  </si>
  <si>
    <t>Table 46.  Persistence Rates from First to Second Year of College for Class of 2021, Student-Weighted Totals</t>
  </si>
  <si>
    <t>Table 47.  Six-Year Completion Rates for Class of 2017, School Percentile Distribution</t>
  </si>
  <si>
    <t>Table 48.  Six-Year Completion Rates for Class of 2017, Student-Weighted Totals</t>
  </si>
  <si>
    <t>6 Public Non-Charter Urbanicity</t>
  </si>
  <si>
    <t>Table 49.  College Enrollment Rates in the First Fall after High School Graduation for Classes 2022 and 2023, School Percentile Distribution</t>
  </si>
  <si>
    <t>Table 50.  College Enrollment Rates in the First Fall after High School Graduation for Classes 2022 and 2023, Student-Weighted Totals</t>
  </si>
  <si>
    <t>Table 51.  College Enrollment Rates in the First Year after High School Graduation for Classes 2021 and 2022, School Percentile Distribution</t>
  </si>
  <si>
    <t>Table 52.  College Enrollment Rates in the First Year after High School Graduation for Classes 2021 and 2022, Student-Weighted Totals</t>
  </si>
  <si>
    <t>Table 53.  College Enrollment Rates in the First Two Years after High School Graduation for Classes 2020 and 2021, School Percentile Distribution</t>
  </si>
  <si>
    <t>Table 54.  College Enrollment Rates in the First Two Years after High School Graduation for Classes 2020 and 2021, Student-Weighted Totals</t>
  </si>
  <si>
    <t>Table 55.  Persistence Rates from First to Second Year of College for Class of 2021, School Percentile Distribution</t>
  </si>
  <si>
    <t>Table 56.  Persistence Rates from First to Second Year of College for Class of 2021, Student-Weighted Totals</t>
  </si>
  <si>
    <t>Table 57.  Six-Year Completion Rates for Class of 2017, School Percentile Distribution</t>
  </si>
  <si>
    <t>Table 58.  Six-Year Completion Rates for Class of 2017, Student-Weighted Totals</t>
  </si>
  <si>
    <t>7 Public Charter Schools</t>
  </si>
  <si>
    <t>Table 59.  College Enrollment Rates in the First Fall after High School Graduation for Classes 2022 and 2023, School Percentile Distribution</t>
  </si>
  <si>
    <t>Table 60.  College Enrollment Rates in the First Fall after High School Graduation for Classes 2022 and 2023, Student-Weighted Totals</t>
  </si>
  <si>
    <t>Table 61.  College Enrollment Rates in the First Year after High School Graduation for Classes 2021 and 2022, School Percentile Distribution</t>
  </si>
  <si>
    <t>Table 62.  College Enrollment Rates in the First Year after High School Graduation for Classes 2021 and 2022, Student-Weighted Totals</t>
  </si>
  <si>
    <t>Table 63.  College Enrollment Rates in the First Two Years after High School Graduation for Classes 2020 and 2021, School Percentile Distribution</t>
  </si>
  <si>
    <t>Table 64.  College Enrollment Rates in the First Two Years after High School Graduation for Classes 2020 and 2021, Student-Weighted Totals</t>
  </si>
  <si>
    <t>Table 65.  Persistence Rates from First to Second Year of College for Class of 2021, School Percentile Distribution</t>
  </si>
  <si>
    <t>Table 66.  Persistence Rates from First to Second Year of College for Class of 2021, Student-Weighted Totals</t>
  </si>
  <si>
    <t>Table 67.  Six-Year Completion Rates for Class of 2017, School Percentile Distribution</t>
  </si>
  <si>
    <t>Table 68.  Six-Year Completion Rates for Class of 2017, Student-Weighted Totals</t>
  </si>
  <si>
    <t>8 Private Schools</t>
  </si>
  <si>
    <t>Table 69.  College Enrollment Rates in the First Fall after High School Graduation for Classes 2022 and 2023, School Percentile Distribution</t>
  </si>
  <si>
    <t>Table 70.  College Enrollment Rates in the First Fall after High School Graduation for Classes 2022 and 2023, Student-Weighted Totals</t>
  </si>
  <si>
    <t>Table 71.  College Enrollment Rates in the First Year after High School Graduation for Classes 2021 and 2022, School Percentile Distribution</t>
  </si>
  <si>
    <t>Table 72.  College Enrollment Rates in the First Year after High School Graduation for Classes 2021 and 2022, Student-Weighted Totals</t>
  </si>
  <si>
    <t>Table 73.  College Enrollment Rates in the First Two Years after High School Graduation for Classes 2020 and 2021, School Percentile Distribution</t>
  </si>
  <si>
    <t>Table 74.  College Enrollment Rates in the First Two Years after High School Graduation for Classes 2020 and 2021, Student-Weighted Totals</t>
  </si>
  <si>
    <t>Table 75.  Persistence Rates from First to Second Year of College for Class of 2021, School Percentile Distribution</t>
  </si>
  <si>
    <t>Table 76.  Persistence Rates from First to Second Year of College for Class of 2021, Student-Weighted Totals</t>
  </si>
  <si>
    <t>Table 77.  Six-Year Completion Rates for Class of 2017, School Percentile Distribution</t>
  </si>
  <si>
    <t>Table 78.  Six-Year Completion Rates for Class of 2017, Student-Weighted Totals</t>
  </si>
  <si>
    <t>9 Income Differences</t>
  </si>
  <si>
    <t>10 Poverty Differences</t>
  </si>
  <si>
    <t>Enrollment, Persistence, and Completion Across High School and College Characteristics, Public Non-Charter High Schools</t>
  </si>
  <si>
    <t>Table 1. Rates of College Enrollment in the First Fall after High School Graduation for Class of 2023</t>
  </si>
  <si>
    <t>High Poverty HS</t>
  </si>
  <si>
    <t>Low Poverty HS</t>
  </si>
  <si>
    <t>Low Income HS</t>
  </si>
  <si>
    <t>Higher Income HS</t>
  </si>
  <si>
    <t>High Minority HS</t>
  </si>
  <si>
    <t>Low Minority HS</t>
  </si>
  <si>
    <t>Urban HS</t>
  </si>
  <si>
    <t>Suburban HS</t>
  </si>
  <si>
    <t>Rural HS</t>
  </si>
  <si>
    <t>Overall</t>
  </si>
  <si>
    <t>Four-Year</t>
  </si>
  <si>
    <t>Two-Year</t>
  </si>
  <si>
    <t>Public</t>
  </si>
  <si>
    <t>Private</t>
  </si>
  <si>
    <t>In-State</t>
  </si>
  <si>
    <t>Out-of-State</t>
  </si>
  <si>
    <t>Table 2. Rates of College Enrollment in the First Fall after High School Graduation for Class of 2022</t>
  </si>
  <si>
    <t>Table 3. Rates of College Enrollment in the First Year after High School Graduation for Class of 2022</t>
  </si>
  <si>
    <t>Table 4. Rates of College Enrollment in the First Year after High School Graduation for Class of 2021</t>
  </si>
  <si>
    <t>Table 5. Rates of College Enrollment in the First Two Years after High School Graduation for Class of 2021</t>
  </si>
  <si>
    <t>Table 6. Rates of College Enrollment in the First Two Years after High School Graduation for Class of 2020</t>
  </si>
  <si>
    <t>Table 7. Persistence Rates from First to Second Year of College for Class of 2021</t>
  </si>
  <si>
    <t>Table 8. Persistence Rates from First to Second Year of College for Class of 2020</t>
  </si>
  <si>
    <t>Table 9. Six-Year Completion Rates for Class of 2017</t>
  </si>
  <si>
    <t>Table 10. Six-Year Completion Rates for Class of 2016</t>
  </si>
  <si>
    <t>Table 11. Six-Year Completion Rates for Class of 2017, STEM</t>
  </si>
  <si>
    <t>Students with any completion</t>
  </si>
  <si>
    <t>Students with any completion in STEM</t>
  </si>
  <si>
    <t>Students with Bachelors degree</t>
  </si>
  <si>
    <t>Students with Bachelors degree in STEM</t>
  </si>
  <si>
    <t>Table 12. Six-Year Completion Rates for Class of 2017, STEM Fields of Study</t>
  </si>
  <si>
    <t>Social Sciences</t>
  </si>
  <si>
    <t>Psychology</t>
  </si>
  <si>
    <t>Biological and Agricultural Sciences</t>
  </si>
  <si>
    <t>Engineering</t>
  </si>
  <si>
    <t>Computer Sciences</t>
  </si>
  <si>
    <t>Mathematics</t>
  </si>
  <si>
    <t>Physical Sciences</t>
  </si>
  <si>
    <t>Earth Atmospheric and Ocean Sciences</t>
  </si>
  <si>
    <t>Table 13. Rates of College Enrollment in the First Fall after High School Graduation for Class of 2023 by Income and Minority Levels</t>
  </si>
  <si>
    <t>Low Income, High Minority</t>
  </si>
  <si>
    <t>Low Income, Low Minority</t>
  </si>
  <si>
    <t>Higher Income, High Minority</t>
  </si>
  <si>
    <t>Higher Income, Low Minority</t>
  </si>
  <si>
    <t>Table 14. Persistence Rates from First to Second Year of College for Class of 2021 by Income and Minority Levels</t>
  </si>
  <si>
    <t>Table 15. Six-Year College Completion Rates for Class of 2017 by Income and Minority Levels</t>
  </si>
  <si>
    <t>Top Five Majors Across College Level, Public Non-Charter High Schools</t>
  </si>
  <si>
    <t>At Two-Year Colleges</t>
  </si>
  <si>
    <t>At Four-Year Colleges</t>
  </si>
  <si>
    <t>Table 16a. Top Five Majors for Students with First Fall Enrollment, Class of 2023</t>
  </si>
  <si>
    <t>Table 16b. Top Five Majors for Students with First Fall Enrollment, Class of 2023</t>
  </si>
  <si>
    <t>Major</t>
  </si>
  <si>
    <t>Count</t>
  </si>
  <si>
    <t>Share</t>
  </si>
  <si>
    <t>Liberal Arts and Sciences, General Studies and Humanities</t>
  </si>
  <si>
    <t>18,126</t>
  </si>
  <si>
    <t>11,514</t>
  </si>
  <si>
    <t>Health Professions and Related Clinical Sciences</t>
  </si>
  <si>
    <t>8,194</t>
  </si>
  <si>
    <t>Business, Management, Marketing, and Related Support</t>
  </si>
  <si>
    <t>11,179</t>
  </si>
  <si>
    <t>6,915</t>
  </si>
  <si>
    <t>10,789</t>
  </si>
  <si>
    <t>Security and Protective Services</t>
  </si>
  <si>
    <t>2,793</t>
  </si>
  <si>
    <t>Biological and Biomedical Sciences</t>
  </si>
  <si>
    <t>7,956</t>
  </si>
  <si>
    <t>Computer and Information Sciences and Support Services</t>
  </si>
  <si>
    <t>2,650</t>
  </si>
  <si>
    <t>6,168</t>
  </si>
  <si>
    <t>17,770</t>
  </si>
  <si>
    <t>35,875</t>
  </si>
  <si>
    <t>6,209</t>
  </si>
  <si>
    <t>33,291</t>
  </si>
  <si>
    <t>3,695</t>
  </si>
  <si>
    <t>20,404</t>
  </si>
  <si>
    <t>2,761</t>
  </si>
  <si>
    <t>16,879</t>
  </si>
  <si>
    <t>Visual and Performing Arts</t>
  </si>
  <si>
    <t>1,762</t>
  </si>
  <si>
    <t>14,780</t>
  </si>
  <si>
    <t>47,939</t>
  </si>
  <si>
    <t>31,976</t>
  </si>
  <si>
    <t>16,806</t>
  </si>
  <si>
    <t>27,411</t>
  </si>
  <si>
    <t>15,452</t>
  </si>
  <si>
    <t>24,961</t>
  </si>
  <si>
    <t>6,965</t>
  </si>
  <si>
    <t>19,973</t>
  </si>
  <si>
    <t>5,446</t>
  </si>
  <si>
    <t>15,837</t>
  </si>
  <si>
    <t>64,783</t>
  </si>
  <si>
    <t>88,613</t>
  </si>
  <si>
    <t>19,863</t>
  </si>
  <si>
    <t>76,854</t>
  </si>
  <si>
    <t>15,003</t>
  </si>
  <si>
    <t>46,395</t>
  </si>
  <si>
    <t>9,139</t>
  </si>
  <si>
    <t>42,648</t>
  </si>
  <si>
    <t>5,827</t>
  </si>
  <si>
    <t>42,455</t>
  </si>
  <si>
    <t>54,065</t>
  </si>
  <si>
    <t>41,945</t>
  </si>
  <si>
    <t>17,661</t>
  </si>
  <si>
    <t>34,552</t>
  </si>
  <si>
    <t>16,533</t>
  </si>
  <si>
    <t>27,463</t>
  </si>
  <si>
    <t>8,220</t>
  </si>
  <si>
    <t>24,521</t>
  </si>
  <si>
    <t>5,981</t>
  </si>
  <si>
    <t>20,275</t>
  </si>
  <si>
    <t>58,657</t>
  </si>
  <si>
    <t>78,644</t>
  </si>
  <si>
    <t>17,654</t>
  </si>
  <si>
    <t>69,713</t>
  </si>
  <si>
    <t>15,276</t>
  </si>
  <si>
    <t>41,957</t>
  </si>
  <si>
    <t>7,884</t>
  </si>
  <si>
    <t>39,953</t>
  </si>
  <si>
    <t>5,232</t>
  </si>
  <si>
    <t>38,100</t>
  </si>
  <si>
    <t>29,653</t>
  </si>
  <si>
    <t>32,942</t>
  </si>
  <si>
    <t>10,712</t>
  </si>
  <si>
    <t>26,943</t>
  </si>
  <si>
    <t>9,373</t>
  </si>
  <si>
    <t>17,645</t>
  </si>
  <si>
    <t>4,709</t>
  </si>
  <si>
    <t>17,158</t>
  </si>
  <si>
    <t>3,822</t>
  </si>
  <si>
    <t>16,856</t>
  </si>
  <si>
    <t>47,459</t>
  </si>
  <si>
    <t>59,677</t>
  </si>
  <si>
    <t>15,396</t>
  </si>
  <si>
    <t>51,939</t>
  </si>
  <si>
    <t>11,445</t>
  </si>
  <si>
    <t>29,930</t>
  </si>
  <si>
    <t>7,656</t>
  </si>
  <si>
    <t>29,322</t>
  </si>
  <si>
    <t>4,938</t>
  </si>
  <si>
    <t>28,981</t>
  </si>
  <si>
    <t>35,610</t>
  </si>
  <si>
    <t>27,970</t>
  </si>
  <si>
    <t>10,991</t>
  </si>
  <si>
    <t>25,383</t>
  </si>
  <si>
    <t>9,207</t>
  </si>
  <si>
    <t>21,238</t>
  </si>
  <si>
    <t>Mechanic and Repair Technologies/Technicians</t>
  </si>
  <si>
    <t>3,995</t>
  </si>
  <si>
    <t>15,995</t>
  </si>
  <si>
    <t>3,739</t>
  </si>
  <si>
    <t>15,144</t>
  </si>
  <si>
    <t>Table 17a. Top Five Majors for Students with First Year Persistence, Class of 2021</t>
  </si>
  <si>
    <t>Table 17b. Top Five Majors for Students with First Year Persistence, Class of 2021</t>
  </si>
  <si>
    <t>12,961</t>
  </si>
  <si>
    <t>9,375</t>
  </si>
  <si>
    <t>6,152</t>
  </si>
  <si>
    <t>7,312</t>
  </si>
  <si>
    <t>4,866</t>
  </si>
  <si>
    <t>6,928</t>
  </si>
  <si>
    <t>2,156</t>
  </si>
  <si>
    <t>6,634</t>
  </si>
  <si>
    <t>2,003</t>
  </si>
  <si>
    <t>4,271</t>
  </si>
  <si>
    <t>18,488</t>
  </si>
  <si>
    <t>39,920</t>
  </si>
  <si>
    <t>7,364</t>
  </si>
  <si>
    <t>30,087</t>
  </si>
  <si>
    <t>3,907</t>
  </si>
  <si>
    <t>18,652</t>
  </si>
  <si>
    <t>2,745</t>
  </si>
  <si>
    <t>18,223</t>
  </si>
  <si>
    <t>2,181</t>
  </si>
  <si>
    <t>15,226</t>
  </si>
  <si>
    <t>30,095</t>
  </si>
  <si>
    <t>24,859</t>
  </si>
  <si>
    <t>11,959</t>
  </si>
  <si>
    <t>17,220</t>
  </si>
  <si>
    <t>11,185</t>
  </si>
  <si>
    <t>16,596</t>
  </si>
  <si>
    <t>4,660</t>
  </si>
  <si>
    <t>16,298</t>
  </si>
  <si>
    <t>4,556</t>
  </si>
  <si>
    <t>11,248</t>
  </si>
  <si>
    <t>67,675</t>
  </si>
  <si>
    <t>102,447</t>
  </si>
  <si>
    <t>20,715</t>
  </si>
  <si>
    <t>74,562</t>
  </si>
  <si>
    <t>14,890</t>
  </si>
  <si>
    <t>50,359</t>
  </si>
  <si>
    <t>8,961</t>
  </si>
  <si>
    <t>47,490</t>
  </si>
  <si>
    <t>6,240</t>
  </si>
  <si>
    <t>46,599</t>
  </si>
  <si>
    <t>40,714</t>
  </si>
  <si>
    <t>40,295</t>
  </si>
  <si>
    <t>14,967</t>
  </si>
  <si>
    <t>27,354</t>
  </si>
  <si>
    <t>13,369</t>
  </si>
  <si>
    <t>24,787</t>
  </si>
  <si>
    <t>6,550</t>
  </si>
  <si>
    <t>23,021</t>
  </si>
  <si>
    <t>5,540</t>
  </si>
  <si>
    <t>17,772</t>
  </si>
  <si>
    <t>57,056</t>
  </si>
  <si>
    <t>87,011</t>
  </si>
  <si>
    <t>16,933</t>
  </si>
  <si>
    <t>64,428</t>
  </si>
  <si>
    <t>13,480</t>
  </si>
  <si>
    <t>41,870</t>
  </si>
  <si>
    <t>7,071</t>
  </si>
  <si>
    <t>40,966</t>
  </si>
  <si>
    <t>4,971</t>
  </si>
  <si>
    <t>40,174</t>
  </si>
  <si>
    <t>23,982</t>
  </si>
  <si>
    <t>35,424</t>
  </si>
  <si>
    <t>9,441</t>
  </si>
  <si>
    <t>23,752</t>
  </si>
  <si>
    <t>7,647</t>
  </si>
  <si>
    <t>18,836</t>
  </si>
  <si>
    <t>4,154</t>
  </si>
  <si>
    <t>16,466</t>
  </si>
  <si>
    <t>3,815</t>
  </si>
  <si>
    <t>15,318</t>
  </si>
  <si>
    <t>43,742</t>
  </si>
  <si>
    <t>63,608</t>
  </si>
  <si>
    <t>14,634</t>
  </si>
  <si>
    <t>46,975</t>
  </si>
  <si>
    <t>10,194</t>
  </si>
  <si>
    <t>31,444</t>
  </si>
  <si>
    <t>6,572</t>
  </si>
  <si>
    <t>28,864</t>
  </si>
  <si>
    <t>4,676</t>
  </si>
  <si>
    <t>28,666</t>
  </si>
  <si>
    <t>30,046</t>
  </si>
  <si>
    <t>28,274</t>
  </si>
  <si>
    <t>9,008</t>
  </si>
  <si>
    <t>21,055</t>
  </si>
  <si>
    <t>7,825</t>
  </si>
  <si>
    <t>19,013</t>
  </si>
  <si>
    <t>2,902</t>
  </si>
  <si>
    <t>16,377</t>
  </si>
  <si>
    <t>2,895</t>
  </si>
  <si>
    <t>13,606</t>
  </si>
  <si>
    <t>Table 18a. Top Five Majors for Students with Completion within Six Years, Class of 2017</t>
  </si>
  <si>
    <t>Table 18b. Top Five Majors for Students with Completion within Six Years, Class of 2017</t>
  </si>
  <si>
    <t>8,449</t>
  </si>
  <si>
    <t>5,712</t>
  </si>
  <si>
    <t>2,696</t>
  </si>
  <si>
    <t>4,206</t>
  </si>
  <si>
    <t>1,857</t>
  </si>
  <si>
    <t>3,528</t>
  </si>
  <si>
    <t>1,410</t>
  </si>
  <si>
    <t>3,481</t>
  </si>
  <si>
    <t>Multi/Interdisciplinary Studies</t>
  </si>
  <si>
    <t>1,185</t>
  </si>
  <si>
    <t>3,302</t>
  </si>
  <si>
    <t>18,342</t>
  </si>
  <si>
    <t>49,635</t>
  </si>
  <si>
    <t>4,743</t>
  </si>
  <si>
    <t>23,248</t>
  </si>
  <si>
    <t>4,327</t>
  </si>
  <si>
    <t>23,031</t>
  </si>
  <si>
    <t>1,780</t>
  </si>
  <si>
    <t>22,841</t>
  </si>
  <si>
    <t>1,604</t>
  </si>
  <si>
    <t>18,683</t>
  </si>
  <si>
    <t>25,663</t>
  </si>
  <si>
    <t>18,624</t>
  </si>
  <si>
    <t>7,685</t>
  </si>
  <si>
    <t>13,753</t>
  </si>
  <si>
    <t>5,331</t>
  </si>
  <si>
    <t>11,446</t>
  </si>
  <si>
    <t>3,507</t>
  </si>
  <si>
    <t>9,980</t>
  </si>
  <si>
    <t>3,032</t>
  </si>
  <si>
    <t>9,851</t>
  </si>
  <si>
    <t>47,440</t>
  </si>
  <si>
    <t>90,015</t>
  </si>
  <si>
    <t>13,282</t>
  </si>
  <si>
    <t>48,723</t>
  </si>
  <si>
    <t>11,284</t>
  </si>
  <si>
    <t>44,615</t>
  </si>
  <si>
    <t>5,043</t>
  </si>
  <si>
    <t>40,845</t>
  </si>
  <si>
    <t>3,881</t>
  </si>
  <si>
    <t>34,993</t>
  </si>
  <si>
    <t>28,460</t>
  </si>
  <si>
    <t>24,683</t>
  </si>
  <si>
    <t>7,043</t>
  </si>
  <si>
    <t>16,167</t>
  </si>
  <si>
    <t>6,229</t>
  </si>
  <si>
    <t>15,072</t>
  </si>
  <si>
    <t>3,720</t>
  </si>
  <si>
    <t>12,982</t>
  </si>
  <si>
    <t>3,518</t>
  </si>
  <si>
    <t>12,768</t>
  </si>
  <si>
    <t>44,643</t>
  </si>
  <si>
    <t>83,956</t>
  </si>
  <si>
    <t>13,924</t>
  </si>
  <si>
    <t>46,309</t>
  </si>
  <si>
    <t>10,386</t>
  </si>
  <si>
    <t>40,989</t>
  </si>
  <si>
    <t>4,830</t>
  </si>
  <si>
    <t>37,789</t>
  </si>
  <si>
    <t>3,707</t>
  </si>
  <si>
    <t>31,862</t>
  </si>
  <si>
    <t>19,301</t>
  </si>
  <si>
    <t>25,876</t>
  </si>
  <si>
    <t>4,458</t>
  </si>
  <si>
    <t>15,350</t>
  </si>
  <si>
    <t>4,424</t>
  </si>
  <si>
    <t>13,891</t>
  </si>
  <si>
    <t>2,182</t>
  </si>
  <si>
    <t>13,303</t>
  </si>
  <si>
    <t>2,133</t>
  </si>
  <si>
    <t>12,524</t>
  </si>
  <si>
    <t>30,029</t>
  </si>
  <si>
    <t>57,500</t>
  </si>
  <si>
    <t>7,343</t>
  </si>
  <si>
    <t>30,461</t>
  </si>
  <si>
    <t>6,940</t>
  </si>
  <si>
    <t>27,946</t>
  </si>
  <si>
    <t>3,595</t>
  </si>
  <si>
    <t>25,582</t>
  </si>
  <si>
    <t>3,270</t>
  </si>
  <si>
    <t>23,002</t>
  </si>
  <si>
    <t>23,773</t>
  </si>
  <si>
    <t>25,263</t>
  </si>
  <si>
    <t>9,603</t>
  </si>
  <si>
    <t>18,124</t>
  </si>
  <si>
    <t>4,814</t>
  </si>
  <si>
    <t>12,765</t>
  </si>
  <si>
    <t>2,773</t>
  </si>
  <si>
    <t>10,597</t>
  </si>
  <si>
    <t>2,731</t>
  </si>
  <si>
    <t>Education</t>
  </si>
  <si>
    <t>9,819</t>
  </si>
  <si>
    <t>Postsecondary Enrollment, Persistence, and Completion Across High School Poverty Level</t>
  </si>
  <si>
    <t>High Poverty High Schools</t>
  </si>
  <si>
    <t>Low Poverty High Schools</t>
  </si>
  <si>
    <t>N of schools</t>
  </si>
  <si>
    <t>25th percentile</t>
  </si>
  <si>
    <t>50th percentile</t>
  </si>
  <si>
    <t>75th percentile</t>
  </si>
  <si>
    <t>N of total HS Graduates</t>
  </si>
  <si>
    <t>Total</t>
  </si>
  <si>
    <t>Two-year</t>
  </si>
  <si>
    <t>Four-year</t>
  </si>
  <si>
    <t>In-state</t>
  </si>
  <si>
    <t>Out-of-state</t>
  </si>
  <si>
    <t>Students enrolled in first year</t>
  </si>
  <si>
    <t>Postsecondary Enrollment, Persistence, and Completion Across High School Income Level</t>
  </si>
  <si>
    <t>Low Income High Schools</t>
  </si>
  <si>
    <t>Higher Income High Schools</t>
  </si>
  <si>
    <t>Postsecondary Enrollment, Persistence, and Completion Across High School Minority Level</t>
  </si>
  <si>
    <t>High Minority High Schools</t>
  </si>
  <si>
    <t>Low Minority High Schools</t>
  </si>
  <si>
    <t>Postsecondary Enrollment, Persistence, and Completion Across High School Urbanicity</t>
  </si>
  <si>
    <t>Urban High Schools</t>
  </si>
  <si>
    <t>Suburban High Schools</t>
  </si>
  <si>
    <t>Rural High Schools</t>
  </si>
  <si>
    <t>Postsecondary Enrollment, Persistence, and Completion for Public Charter High School Graduates</t>
  </si>
  <si>
    <t>Postsecondary Enrollment, Persistence, and Completion for Private High School Graduates</t>
  </si>
  <si>
    <t>* Data are not shown when grade 12 coverage is under 10%, there are fewer than 3 schools, or fewer than 30 students.</t>
  </si>
  <si>
    <t>*</t>
  </si>
  <si>
    <t>Income Level Designation Changes First Fall Enrollment and First Year to Second Year Persistence</t>
  </si>
  <si>
    <t>Higher Income Schools</t>
  </si>
  <si>
    <t>High School Graduating Class</t>
  </si>
  <si>
    <t>N Schools in NSC</t>
  </si>
  <si>
    <t>N Schools in NCES</t>
  </si>
  <si>
    <t>N of Students in NSC</t>
  </si>
  <si>
    <t>N of Students in NCES</t>
  </si>
  <si>
    <t>Class of 2017</t>
  </si>
  <si>
    <t>Class of 2020</t>
  </si>
  <si>
    <t>Class of 2021</t>
  </si>
  <si>
    <t>Class of 2022</t>
  </si>
  <si>
    <t>Class of 2023</t>
  </si>
  <si>
    <t>2023 Adjusted to 2022 Flags</t>
  </si>
  <si>
    <t>2021 Adjusted to 2020 Flags</t>
  </si>
  <si>
    <t>Table 82b. Rates of Higher Income College Enrollment in the First Fall after High School Graduation for Class of 2023 by Minority Levels</t>
  </si>
  <si>
    <t>2023 Adjusted to 2022 Levels</t>
  </si>
  <si>
    <t>Table 83a. Persistence Rates from First to Second Year of College for Class of 2021 by Low Income and Minority Levels</t>
  </si>
  <si>
    <t>Table 83b. Persistence Rates from First to Second Year of College for Class of 2021 by Higher Income and Minority Levels</t>
  </si>
  <si>
    <t>2021 Adjusted to 2020 Levels</t>
  </si>
  <si>
    <t>Poverty Level Designation Changes First Fall Enrollment and First Year to Second Year Persistence</t>
  </si>
  <si>
    <t>High Poverty Schools</t>
  </si>
  <si>
    <t>Low Poverty Income Schools</t>
  </si>
  <si>
    <t>Low Income Schools</t>
  </si>
  <si>
    <t>Table 82a. Rates of Low Income College Enrollment in the First Fall after High School Graduation for Class of 2023 by Minority Levels</t>
  </si>
  <si>
    <t>Table 86b. Low Poverty Persistence Rates from First to Second Year of College for Class of 2021 and 2021 Adjusted to 2020 Flags, Student-Weighted Totals</t>
  </si>
  <si>
    <t>Table 86a. High Poverty Persistence Rates from First to Second Year of College for Class of 2021 and 2021 Adjusted to 2020 Flags, Student-Weighted Totals</t>
  </si>
  <si>
    <t>Table 85b. Low Poverty College Enrollment Rates in the First Fall after High School Graduation for Classes 2023 and 2023 Adjusted to 2022 Student-Weighted Totals</t>
  </si>
  <si>
    <t>Table 85a. High Poverty College Enrollment Rates in the First Fall after High School Graduation for Classes 2023 and 2023 Adjusted to 2022 Student-Weighted Totals</t>
  </si>
  <si>
    <t>Table 84b. Low Poverty High School Count Class of 2017 to Class of 2023</t>
  </si>
  <si>
    <t>Table 84a. High Poverty High School Count Class of 2017 to Class of 2023</t>
  </si>
  <si>
    <t>Table 81b. Higher Income Persistence Rates from First to Second Year of College for Class of 2021 and 2021 Adjusted to 2020 Flags, Student-Weighted Totals</t>
  </si>
  <si>
    <t>Table 81a. Low Income Persistence Rates from First to Second Year of College for Class of 2021 and 2021 Adjusted to 2020 Flags, Student-Weighted Totals</t>
  </si>
  <si>
    <t>Table 80b. Higher Income College Enrollment Rates in the First Fall after High School Graduation for Classes 2023 and 2023 Adjusted to 2022, Student-Weighted Totals</t>
  </si>
  <si>
    <t>Table 80a. Low Income College Enrollment Rates in the First Fall after High School Graduation for Classes 2023 and 2023 Adjusted to 2022 Student-Weighted Totals</t>
  </si>
  <si>
    <t>Table 79b. Higher Income High School Count Class of 2017 to Class of 2023</t>
  </si>
  <si>
    <t>Table 79a. Low Income High School Count Class of 2017 to Class of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</si>
</sst>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[$-409]mmmm\ d\,\ yyyy;@"/>
    <numFmt numFmtId="166" formatCode="#,##0;\-#,##0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1"/>
      <color rgb="FF000000"/>
      <name val="Aptos Narrow"/>
      <family val="2"/>
    </font>
    <font>
      <b/>
      <sz val="16"/>
      <color rgb="FF000000"/>
      <name val="Aptos Narrow"/>
      <family val="2"/>
      <scheme val="minor"/>
    </font>
    <font>
      <sz val="22"/>
      <color rgb="FF000000"/>
      <name val="Aptos Narrow"/>
      <family val="2"/>
      <scheme val="minor"/>
    </font>
    <font>
      <sz val="14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i/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4" fillId="0" borderId="2" xfId="0" quotePrefix="1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6" xfId="0" quotePrefix="1" applyFont="1" applyBorder="1" applyAlignment="1">
      <alignment horizontal="left" vertical="top"/>
    </xf>
    <xf numFmtId="164" fontId="4" fillId="0" borderId="6" xfId="0" applyNumberFormat="1" applyFont="1" applyBorder="1" applyAlignment="1">
      <alignment vertical="center"/>
    </xf>
    <xf numFmtId="164" fontId="4" fillId="0" borderId="7" xfId="0" applyNumberFormat="1" applyFont="1" applyBorder="1" applyAlignment="1">
      <alignment vertical="center"/>
    </xf>
    <xf numFmtId="164" fontId="4" fillId="0" borderId="4" xfId="0" applyNumberFormat="1" applyFont="1" applyBorder="1" applyAlignment="1">
      <alignment vertical="center"/>
    </xf>
    <xf numFmtId="164" fontId="4" fillId="0" borderId="8" xfId="0" applyNumberFormat="1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0" fontId="5" fillId="0" borderId="1" xfId="0" applyFont="1" applyBorder="1"/>
    <xf numFmtId="0" fontId="0" fillId="0" borderId="2" xfId="0" applyBorder="1" applyAlignment="1">
      <alignment wrapText="1"/>
    </xf>
    <xf numFmtId="0" fontId="4" fillId="0" borderId="2" xfId="0" quotePrefix="1" applyFont="1" applyBorder="1" applyAlignment="1">
      <alignment horizontal="center" wrapText="1"/>
    </xf>
    <xf numFmtId="0" fontId="4" fillId="0" borderId="3" xfId="0" quotePrefix="1" applyFont="1" applyBorder="1" applyAlignment="1">
      <alignment horizontal="center" wrapText="1"/>
    </xf>
    <xf numFmtId="0" fontId="4" fillId="0" borderId="4" xfId="0" quotePrefix="1" applyFont="1" applyBorder="1" applyAlignment="1">
      <alignment horizontal="center" wrapText="1"/>
    </xf>
    <xf numFmtId="0" fontId="4" fillId="0" borderId="5" xfId="0" quotePrefix="1" applyFont="1" applyBorder="1" applyAlignment="1">
      <alignment horizontal="center" wrapText="1"/>
    </xf>
    <xf numFmtId="0" fontId="4" fillId="0" borderId="0" xfId="0" quotePrefix="1" applyFont="1" applyAlignment="1">
      <alignment horizontal="center" wrapText="1"/>
    </xf>
    <xf numFmtId="0" fontId="0" fillId="0" borderId="0" xfId="0" applyAlignment="1">
      <alignment wrapText="1"/>
    </xf>
    <xf numFmtId="164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4" fillId="2" borderId="6" xfId="0" quotePrefix="1" applyFont="1" applyFill="1" applyBorder="1" applyAlignment="1">
      <alignment horizontal="left" vertical="top"/>
    </xf>
    <xf numFmtId="0" fontId="4" fillId="2" borderId="6" xfId="0" quotePrefix="1" applyFont="1" applyFill="1" applyBorder="1" applyAlignment="1">
      <alignment horizontal="right" vertical="top"/>
    </xf>
    <xf numFmtId="164" fontId="4" fillId="2" borderId="6" xfId="0" applyNumberFormat="1" applyFont="1" applyFill="1" applyBorder="1" applyAlignment="1">
      <alignment horizontal="right" vertical="center"/>
    </xf>
    <xf numFmtId="164" fontId="0" fillId="0" borderId="0" xfId="0" applyNumberFormat="1"/>
    <xf numFmtId="0" fontId="4" fillId="0" borderId="6" xfId="0" quotePrefix="1" applyFont="1" applyBorder="1" applyAlignment="1">
      <alignment horizontal="right" vertical="top"/>
    </xf>
    <xf numFmtId="164" fontId="4" fillId="0" borderId="6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64" fontId="9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9" fillId="0" borderId="1" xfId="0" applyNumberFormat="1" applyFont="1" applyBorder="1" applyAlignment="1">
      <alignment vertical="center"/>
    </xf>
    <xf numFmtId="0" fontId="4" fillId="0" borderId="11" xfId="0" quotePrefix="1" applyFont="1" applyBorder="1" applyAlignment="1">
      <alignment horizontal="center"/>
    </xf>
    <xf numFmtId="0" fontId="4" fillId="0" borderId="10" xfId="0" quotePrefix="1" applyFont="1" applyBorder="1" applyAlignment="1">
      <alignment horizontal="center"/>
    </xf>
    <xf numFmtId="164" fontId="9" fillId="0" borderId="6" xfId="0" applyNumberFormat="1" applyFont="1" applyBorder="1" applyAlignment="1">
      <alignment vertical="center"/>
    </xf>
    <xf numFmtId="3" fontId="9" fillId="0" borderId="6" xfId="0" applyNumberFormat="1" applyFont="1" applyBorder="1" applyAlignment="1">
      <alignment vertical="center"/>
    </xf>
    <xf numFmtId="1" fontId="10" fillId="0" borderId="0" xfId="0" applyNumberFormat="1" applyFont="1" applyAlignment="1">
      <alignment vertical="center"/>
    </xf>
    <xf numFmtId="1" fontId="11" fillId="0" borderId="0" xfId="0" applyNumberFormat="1" applyFont="1" applyAlignment="1">
      <alignment vertical="center"/>
    </xf>
    <xf numFmtId="1" fontId="12" fillId="0" borderId="0" xfId="0" applyNumberFormat="1" applyFont="1" applyAlignment="1">
      <alignment vertical="center"/>
    </xf>
    <xf numFmtId="1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vertical="center"/>
    </xf>
    <xf numFmtId="3" fontId="0" fillId="0" borderId="0" xfId="0" applyNumberFormat="1"/>
    <xf numFmtId="0" fontId="0" fillId="0" borderId="6" xfId="0" applyBorder="1" applyAlignment="1">
      <alignment vertical="top" wrapText="1"/>
    </xf>
    <xf numFmtId="3" fontId="0" fillId="0" borderId="6" xfId="0" applyNumberForma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1" fontId="13" fillId="0" borderId="6" xfId="0" applyNumberFormat="1" applyFont="1" applyBorder="1" applyAlignment="1">
      <alignment horizontal="center" vertical="center" wrapText="1"/>
    </xf>
    <xf numFmtId="164" fontId="0" fillId="0" borderId="6" xfId="1" applyNumberFormat="1" applyFont="1" applyBorder="1" applyAlignment="1">
      <alignment vertical="center" wrapText="1"/>
    </xf>
    <xf numFmtId="0" fontId="4" fillId="0" borderId="0" xfId="0" applyFont="1"/>
    <xf numFmtId="0" fontId="2" fillId="0" borderId="0" xfId="0" applyFont="1" applyAlignment="1">
      <alignment vertical="center"/>
    </xf>
    <xf numFmtId="3" fontId="4" fillId="0" borderId="6" xfId="0" applyNumberFormat="1" applyFont="1" applyBorder="1" applyAlignment="1">
      <alignment horizontal="right" vertical="center" wrapText="1"/>
    </xf>
    <xf numFmtId="3" fontId="0" fillId="0" borderId="6" xfId="0" applyNumberFormat="1" applyBorder="1" applyAlignment="1">
      <alignment horizontal="right" vertical="center" wrapText="1"/>
    </xf>
    <xf numFmtId="164" fontId="0" fillId="0" borderId="6" xfId="1" applyNumberFormat="1" applyFont="1" applyBorder="1" applyAlignment="1">
      <alignment horizontal="right" vertical="center" wrapText="1"/>
    </xf>
    <xf numFmtId="166" fontId="9" fillId="0" borderId="6" xfId="0" applyNumberFormat="1" applyFont="1" applyBorder="1" applyAlignment="1">
      <alignment vertical="center"/>
    </xf>
    <xf numFmtId="0" fontId="0" fillId="0" borderId="6" xfId="0" applyBorder="1"/>
    <xf numFmtId="0" fontId="0" fillId="0" borderId="6" xfId="0" applyBorder="1" applyAlignment="1">
      <alignment wrapText="1"/>
    </xf>
    <xf numFmtId="164" fontId="4" fillId="0" borderId="6" xfId="1" applyNumberFormat="1" applyFont="1" applyFill="1" applyBorder="1" applyAlignment="1">
      <alignment horizontal="right" vertical="center" wrapText="1"/>
    </xf>
    <xf numFmtId="1" fontId="13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right" vertical="center" wrapText="1"/>
    </xf>
    <xf numFmtId="164" fontId="4" fillId="0" borderId="0" xfId="1" applyNumberFormat="1" applyFont="1" applyFill="1" applyBorder="1" applyAlignment="1">
      <alignment horizontal="right" vertical="center" wrapText="1"/>
    </xf>
    <xf numFmtId="164" fontId="4" fillId="0" borderId="0" xfId="1" applyNumberFormat="1" applyFont="1" applyAlignment="1">
      <alignment horizontal="right" vertical="center" wrapText="1"/>
    </xf>
    <xf numFmtId="0" fontId="14" fillId="0" borderId="0" xfId="0" applyFont="1"/>
    <xf numFmtId="166" fontId="4" fillId="0" borderId="6" xfId="0" applyNumberFormat="1" applyFont="1" applyBorder="1" applyAlignment="1">
      <alignment vertical="center"/>
    </xf>
    <xf numFmtId="1" fontId="13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/>
    <xf numFmtId="0" fontId="4" fillId="0" borderId="6" xfId="0" quotePrefix="1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64" fontId="4" fillId="0" borderId="10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0" fontId="5" fillId="0" borderId="6" xfId="0" applyFont="1" applyBorder="1"/>
    <xf numFmtId="0" fontId="13" fillId="0" borderId="6" xfId="0" quotePrefix="1" applyFont="1" applyBorder="1" applyAlignment="1">
      <alignment horizontal="left" vertical="top"/>
    </xf>
    <xf numFmtId="0" fontId="4" fillId="0" borderId="6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5" fontId="7" fillId="0" borderId="7" xfId="0" applyNumberFormat="1" applyFont="1" applyBorder="1" applyAlignment="1">
      <alignment horizontal="center" vertical="center"/>
    </xf>
    <xf numFmtId="165" fontId="7" fillId="0" borderId="8" xfId="0" applyNumberFormat="1" applyFont="1" applyBorder="1" applyAlignment="1">
      <alignment horizontal="center" vertical="center"/>
    </xf>
    <xf numFmtId="0" fontId="4" fillId="0" borderId="6" xfId="0" quotePrefix="1" applyFont="1" applyBorder="1" applyAlignment="1">
      <alignment horizontal="left" vertical="top"/>
    </xf>
    <xf numFmtId="0" fontId="0" fillId="0" borderId="6" xfId="0" applyBorder="1"/>
    <xf numFmtId="0" fontId="4" fillId="0" borderId="7" xfId="0" quotePrefix="1" applyFont="1" applyBorder="1" applyAlignment="1">
      <alignment horizontal="left" vertical="top" wrapText="1"/>
    </xf>
    <xf numFmtId="0" fontId="0" fillId="0" borderId="7" xfId="0" applyBorder="1" applyAlignment="1">
      <alignment wrapText="1"/>
    </xf>
    <xf numFmtId="0" fontId="4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wrapText="1"/>
    </xf>
    <xf numFmtId="0" fontId="6" fillId="0" borderId="0" xfId="0" applyFont="1" applyAlignment="1">
      <alignment horizontal="center"/>
    </xf>
    <xf numFmtId="0" fontId="4" fillId="2" borderId="6" xfId="0" quotePrefix="1" applyFont="1" applyFill="1" applyBorder="1" applyAlignment="1">
      <alignment horizontal="left" vertical="top"/>
    </xf>
    <xf numFmtId="0" fontId="0" fillId="2" borderId="6" xfId="0" applyFill="1" applyBorder="1"/>
    <xf numFmtId="1" fontId="12" fillId="0" borderId="0" xfId="0" applyNumberFormat="1" applyFont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9" xfId="0" quotePrefix="1" applyFont="1" applyBorder="1" applyAlignment="1">
      <alignment horizontal="left" vertical="top"/>
    </xf>
    <xf numFmtId="0" fontId="4" fillId="0" borderId="2" xfId="0" quotePrefix="1" applyFont="1" applyBorder="1" applyAlignment="1">
      <alignment horizontal="left" vertical="top"/>
    </xf>
    <xf numFmtId="0" fontId="5" fillId="0" borderId="12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6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7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8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9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0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1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2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4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5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7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8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10395387323573"/>
          <c:y val="3.9007529729678886E-2"/>
          <c:w val="0.86844490824189147"/>
          <c:h val="0.8024169386550283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'3 Public Non-Charter Poverty'!$D$10</c:f>
              <c:strCache>
                <c:ptCount val="1"/>
                <c:pt idx="0">
                  <c:v>Public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 Public Non-Charter Poverty'!$A$11:$A$18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'3 Public Non-Charter Poverty'!$D$11:$D$12</c:f>
              <c:numCache>
                <c:formatCode>0.0%</c:formatCode>
                <c:ptCount val="2"/>
                <c:pt idx="0">
                  <c:v>0.44823373205248607</c:v>
                </c:pt>
                <c:pt idx="1">
                  <c:v>0.44522032749793988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09-4C10-B555-0EE6C4EDA573}"/>
            </c:ext>
          </c:extLst>
        </c:ser>
        <c:ser>
          <c:idx val="3"/>
          <c:order val="1"/>
          <c:tx>
            <c:strRef>
              <c:f>'3 Public Non-Charter Poverty'!$E$10</c:f>
              <c:strCache>
                <c:ptCount val="1"/>
                <c:pt idx="0">
                  <c:v>Private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 Public Non-Charter Poverty'!$A$11:$A$18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'3 Public Non-Charter Poverty'!$E$11:$E$12</c:f>
              <c:numCache>
                <c:formatCode>0.0%</c:formatCode>
                <c:ptCount val="2"/>
                <c:pt idx="0">
                  <c:v>5.0687282694136387E-2</c:v>
                </c:pt>
                <c:pt idx="1">
                  <c:v>5.9415350425092668E-2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09-4C10-B555-0EE6C4EDA573}"/>
            </c:ext>
          </c:extLst>
        </c:ser>
        <c:ser>
          <c:idx val="0"/>
          <c:order val="2"/>
          <c:tx>
            <c:strRef>
              <c:f>'3 Public Non-Charter Poverty'!$F$10</c:f>
              <c:strCache>
                <c:ptCount val="1"/>
                <c:pt idx="0">
                  <c:v>Two-year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309-4C10-B555-0EE6C4EDA57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 Public Non-Charter Poverty'!$A$11:$A$18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'3 Public Non-Charter Poverty'!$F$8:$F$12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0.23922265957352851</c:v>
                </c:pt>
                <c:pt idx="4" formatCode="0.0%">
                  <c:v>0.22448797939571088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09-4C10-B555-0EE6C4EDA573}"/>
            </c:ext>
          </c:extLst>
        </c:ser>
        <c:ser>
          <c:idx val="1"/>
          <c:order val="3"/>
          <c:tx>
            <c:strRef>
              <c:f>'3 Public Non-Charter Poverty'!$G$10</c:f>
              <c:strCache>
                <c:ptCount val="1"/>
                <c:pt idx="0">
                  <c:v>Four-year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309-4C10-B555-0EE6C4EDA57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 Public Non-Charter Poverty'!$A$11:$A$18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'3 Public Non-Charter Poverty'!$G$8:$G$12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0.25969835517309398</c:v>
                </c:pt>
                <c:pt idx="4" formatCode="0.0%">
                  <c:v>0.28014769852732163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09-4C10-B555-0EE6C4EDA573}"/>
            </c:ext>
          </c:extLst>
        </c:ser>
        <c:ser>
          <c:idx val="4"/>
          <c:order val="4"/>
          <c:tx>
            <c:strRef>
              <c:f>'3 Public Non-Charter Poverty'!$H$10</c:f>
              <c:strCache>
                <c:ptCount val="1"/>
                <c:pt idx="0">
                  <c:v>In-state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309-4C10-B555-0EE6C4EDA57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 Public Non-Charter Poverty'!$A$11:$A$18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'3 Public Non-Charter Poverty'!$H$5:$H$12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0.45985085568093831</c:v>
                </c:pt>
                <c:pt idx="7" formatCode="0.0%">
                  <c:v>0.46105829555210365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09-4C10-B555-0EE6C4EDA573}"/>
            </c:ext>
          </c:extLst>
        </c:ser>
        <c:ser>
          <c:idx val="5"/>
          <c:order val="5"/>
          <c:tx>
            <c:strRef>
              <c:f>'3 Public Non-Charter Poverty'!$I$10</c:f>
              <c:strCache>
                <c:ptCount val="1"/>
                <c:pt idx="0">
                  <c:v>Out-of-state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309-4C10-B555-0EE6C4EDA57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 Public Non-Charter Poverty'!$A$11:$A$18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'3 Public Non-Charter Poverty'!$I$5:$I$12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3.9070159065684146E-2</c:v>
                </c:pt>
                <c:pt idx="7" formatCode="0.0%">
                  <c:v>4.357738237092889E-2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09-4C10-B555-0EE6C4EDA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00272368"/>
        <c:axId val="500269624"/>
      </c:barChart>
      <c:catAx>
        <c:axId val="500272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500269624"/>
        <c:crosses val="autoZero"/>
        <c:auto val="1"/>
        <c:lblAlgn val="ctr"/>
        <c:lblOffset val="100"/>
        <c:noMultiLvlLbl val="0"/>
      </c:catAx>
      <c:valAx>
        <c:axId val="50026962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crossAx val="50027236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10395387323573"/>
          <c:y val="3.9007529729678886E-2"/>
          <c:w val="0.86844490824189147"/>
          <c:h val="0.8024169386550283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'3 Public Non-Charter Poverty'!$D$10</c:f>
              <c:strCache>
                <c:ptCount val="1"/>
                <c:pt idx="0">
                  <c:v>Public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 Public Non-Charter Poverty'!$A$130:$A$137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'3 Public Non-Charter Poverty'!$Q$130:$Q$131</c:f>
              <c:numCache>
                <c:formatCode>0.0%</c:formatCode>
                <c:ptCount val="2"/>
                <c:pt idx="0">
                  <c:v>0.44216674279892249</c:v>
                </c:pt>
                <c:pt idx="1">
                  <c:v>0.44052715646020141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00-4008-9E1D-03501104B435}"/>
            </c:ext>
          </c:extLst>
        </c:ser>
        <c:ser>
          <c:idx val="3"/>
          <c:order val="1"/>
          <c:tx>
            <c:strRef>
              <c:f>'3 Public Non-Charter Poverty'!$E$10</c:f>
              <c:strCache>
                <c:ptCount val="1"/>
                <c:pt idx="0">
                  <c:v>Private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 Public Non-Charter Poverty'!$A$130:$A$137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'3 Public Non-Charter Poverty'!$R$130:$R$131</c:f>
              <c:numCache>
                <c:formatCode>0.0%</c:formatCode>
                <c:ptCount val="2"/>
                <c:pt idx="0">
                  <c:v>0.15719337029037406</c:v>
                </c:pt>
                <c:pt idx="1">
                  <c:v>0.1534799893390788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00-4008-9E1D-03501104B435}"/>
            </c:ext>
          </c:extLst>
        </c:ser>
        <c:ser>
          <c:idx val="0"/>
          <c:order val="2"/>
          <c:tx>
            <c:strRef>
              <c:f>'3 Public Non-Charter Poverty'!$F$10</c:f>
              <c:strCache>
                <c:ptCount val="1"/>
                <c:pt idx="0">
                  <c:v>Two-year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00-4008-9E1D-03501104B43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 Public Non-Charter Poverty'!$A$130:$A$137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'3 Public Non-Charter Poverty'!$S$127:$S$131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8.5892223043072063E-2</c:v>
                </c:pt>
                <c:pt idx="4" formatCode="0.0%">
                  <c:v>8.5818551866686299E-2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00-4008-9E1D-03501104B435}"/>
            </c:ext>
          </c:extLst>
        </c:ser>
        <c:ser>
          <c:idx val="1"/>
          <c:order val="3"/>
          <c:tx>
            <c:strRef>
              <c:f>'3 Public Non-Charter Poverty'!$G$10</c:f>
              <c:strCache>
                <c:ptCount val="1"/>
                <c:pt idx="0">
                  <c:v>Four-year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00-4008-9E1D-03501104B43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 Public Non-Charter Poverty'!$A$130:$A$137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'3 Public Non-Charter Poverty'!$T$127:$T$131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0.51343029387050754</c:v>
                </c:pt>
                <c:pt idx="4" formatCode="0.0%">
                  <c:v>0.50817181975587977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600-4008-9E1D-03501104B435}"/>
            </c:ext>
          </c:extLst>
        </c:ser>
        <c:ser>
          <c:idx val="4"/>
          <c:order val="4"/>
          <c:tx>
            <c:strRef>
              <c:f>'3 Public Non-Charter Poverty'!$H$10</c:f>
              <c:strCache>
                <c:ptCount val="1"/>
                <c:pt idx="0">
                  <c:v>In-state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00-4008-9E1D-03501104B43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 Public Non-Charter Poverty'!$A$130:$A$137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'3 Public Non-Charter Poverty'!$U$124:$U$131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0.41598288622081364</c:v>
                </c:pt>
                <c:pt idx="7" formatCode="0.0%">
                  <c:v>0.41427370610524117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600-4008-9E1D-03501104B435}"/>
            </c:ext>
          </c:extLst>
        </c:ser>
        <c:ser>
          <c:idx val="5"/>
          <c:order val="5"/>
          <c:tx>
            <c:strRef>
              <c:f>'3 Public Non-Charter Poverty'!$I$10</c:f>
              <c:strCache>
                <c:ptCount val="1"/>
                <c:pt idx="0">
                  <c:v>Out-of-state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600-4008-9E1D-03501104B43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 Public Non-Charter Poverty'!$A$130:$A$137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'3 Public Non-Charter Poverty'!$V$124:$V$131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0.18337722686848293</c:v>
                </c:pt>
                <c:pt idx="7" formatCode="0.0%">
                  <c:v>0.17973343969403902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600-4008-9E1D-03501104B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00272368"/>
        <c:axId val="500269624"/>
      </c:barChart>
      <c:catAx>
        <c:axId val="500272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500269624"/>
        <c:crosses val="autoZero"/>
        <c:auto val="1"/>
        <c:lblAlgn val="ctr"/>
        <c:lblOffset val="100"/>
        <c:noMultiLvlLbl val="0"/>
      </c:catAx>
      <c:valAx>
        <c:axId val="50026962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crossAx val="50027236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10395387323573"/>
          <c:y val="3.9007529729678886E-2"/>
          <c:w val="0.86844490824189147"/>
          <c:h val="0.8024169386550283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'4 Public Non-Charter Income'!$D$10</c:f>
              <c:strCache>
                <c:ptCount val="1"/>
                <c:pt idx="0">
                  <c:v>Public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 Public Non-Charter Income'!$A$11:$A$18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'4 Public Non-Charter Income'!$D$11:$D$12</c:f>
              <c:numCache>
                <c:formatCode>0.0%</c:formatCode>
                <c:ptCount val="2"/>
                <c:pt idx="0">
                  <c:v>0.46197101749357716</c:v>
                </c:pt>
                <c:pt idx="1">
                  <c:v>0.45608978040258907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33-49E5-AD02-019072DBBAD8}"/>
            </c:ext>
          </c:extLst>
        </c:ser>
        <c:ser>
          <c:idx val="3"/>
          <c:order val="1"/>
          <c:tx>
            <c:strRef>
              <c:f>'4 Public Non-Charter Income'!$E$10</c:f>
              <c:strCache>
                <c:ptCount val="1"/>
                <c:pt idx="0">
                  <c:v>Private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 Public Non-Charter Income'!$A$11:$A$18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'4 Public Non-Charter Income'!$E$11:$E$12</c:f>
              <c:numCache>
                <c:formatCode>0.0%</c:formatCode>
                <c:ptCount val="2"/>
                <c:pt idx="0">
                  <c:v>5.7895539832556416E-2</c:v>
                </c:pt>
                <c:pt idx="1">
                  <c:v>6.6885757722836225E-2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33-49E5-AD02-019072DBBAD8}"/>
            </c:ext>
          </c:extLst>
        </c:ser>
        <c:ser>
          <c:idx val="0"/>
          <c:order val="2"/>
          <c:tx>
            <c:strRef>
              <c:f>'4 Public Non-Charter Income'!$F$10</c:f>
              <c:strCache>
                <c:ptCount val="1"/>
                <c:pt idx="0">
                  <c:v>Two-year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33-49E5-AD02-019072DBBAD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 Public Non-Charter Income'!$A$11:$A$18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'4 Public Non-Charter Income'!$F$8:$F$12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0.24179877890962787</c:v>
                </c:pt>
                <c:pt idx="4" formatCode="0.0%">
                  <c:v>0.2227269302922408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33-49E5-AD02-019072DBBAD8}"/>
            </c:ext>
          </c:extLst>
        </c:ser>
        <c:ser>
          <c:idx val="1"/>
          <c:order val="3"/>
          <c:tx>
            <c:strRef>
              <c:f>'4 Public Non-Charter Income'!$G$10</c:f>
              <c:strCache>
                <c:ptCount val="1"/>
                <c:pt idx="0">
                  <c:v>Four-year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33-49E5-AD02-019072DBBAD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 Public Non-Charter Income'!$A$11:$A$18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'4 Public Non-Charter Income'!$G$8:$G$12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0.27806777841650571</c:v>
                </c:pt>
                <c:pt idx="4" formatCode="0.0%">
                  <c:v>0.30024860783318452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33-49E5-AD02-019072DBBAD8}"/>
            </c:ext>
          </c:extLst>
        </c:ser>
        <c:ser>
          <c:idx val="4"/>
          <c:order val="4"/>
          <c:tx>
            <c:strRef>
              <c:f>'4 Public Non-Charter Income'!$H$10</c:f>
              <c:strCache>
                <c:ptCount val="1"/>
                <c:pt idx="0">
                  <c:v>In-state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33-49E5-AD02-019072DBBAD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 Public Non-Charter Income'!$A$11:$A$18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'4 Public Non-Charter Income'!$H$5:$H$12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0.47071508163760151</c:v>
                </c:pt>
                <c:pt idx="7" formatCode="0.0%">
                  <c:v>0.46919942843663587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033-49E5-AD02-019072DBBAD8}"/>
            </c:ext>
          </c:extLst>
        </c:ser>
        <c:ser>
          <c:idx val="5"/>
          <c:order val="5"/>
          <c:tx>
            <c:strRef>
              <c:f>'4 Public Non-Charter Income'!$I$10</c:f>
              <c:strCache>
                <c:ptCount val="1"/>
                <c:pt idx="0">
                  <c:v>Out-of-state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33-49E5-AD02-019072DBBAD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 Public Non-Charter Income'!$A$11:$A$18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'4 Public Non-Charter Income'!$I$5:$I$12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4.9151475688532051E-2</c:v>
                </c:pt>
                <c:pt idx="7" formatCode="0.0%">
                  <c:v>5.3776109688789431E-2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033-49E5-AD02-019072DBB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00272368"/>
        <c:axId val="500269624"/>
      </c:barChart>
      <c:catAx>
        <c:axId val="500272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500269624"/>
        <c:crosses val="autoZero"/>
        <c:auto val="1"/>
        <c:lblAlgn val="ctr"/>
        <c:lblOffset val="100"/>
        <c:noMultiLvlLbl val="0"/>
      </c:catAx>
      <c:valAx>
        <c:axId val="50026962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crossAx val="50027236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10395387323573"/>
          <c:y val="3.9007529729678886E-2"/>
          <c:w val="0.86844490824189147"/>
          <c:h val="0.8024169386550283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'4 Public Non-Charter Income'!$Q$10</c:f>
              <c:strCache>
                <c:ptCount val="1"/>
                <c:pt idx="0">
                  <c:v>Public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 Public Non-Charter Income'!$A$11:$A$18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'4 Public Non-Charter Income'!$Q$11:$Q$12</c:f>
              <c:numCache>
                <c:formatCode>0.0%</c:formatCode>
                <c:ptCount val="2"/>
                <c:pt idx="0">
                  <c:v>0.50511442867689282</c:v>
                </c:pt>
                <c:pt idx="1">
                  <c:v>0.51721160288728751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D4-4C2A-995B-4FDF394932C9}"/>
            </c:ext>
          </c:extLst>
        </c:ser>
        <c:ser>
          <c:idx val="3"/>
          <c:order val="1"/>
          <c:tx>
            <c:strRef>
              <c:f>'4 Public Non-Charter Income'!$E$10</c:f>
              <c:strCache>
                <c:ptCount val="1"/>
                <c:pt idx="0">
                  <c:v>Private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 Public Non-Charter Income'!$A$11:$A$18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'4 Public Non-Charter Income'!$R$11:$R$12</c:f>
              <c:numCache>
                <c:formatCode>0.0%</c:formatCode>
                <c:ptCount val="2"/>
                <c:pt idx="0">
                  <c:v>0.12628441746643698</c:v>
                </c:pt>
                <c:pt idx="1">
                  <c:v>0.13423622324007864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D4-4C2A-995B-4FDF394932C9}"/>
            </c:ext>
          </c:extLst>
        </c:ser>
        <c:ser>
          <c:idx val="0"/>
          <c:order val="2"/>
          <c:tx>
            <c:strRef>
              <c:f>'4 Public Non-Charter Income'!$F$10</c:f>
              <c:strCache>
                <c:ptCount val="1"/>
                <c:pt idx="0">
                  <c:v>Two-year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D4-4C2A-995B-4FDF394932C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 Public Non-Charter Income'!$A$11:$A$18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'4 Public Non-Charter Income'!$S$8:$S$12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0.17470470018866377</c:v>
                </c:pt>
                <c:pt idx="4" formatCode="0.0%">
                  <c:v>0.16585764824470461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D4-4C2A-995B-4FDF394932C9}"/>
            </c:ext>
          </c:extLst>
        </c:ser>
        <c:ser>
          <c:idx val="1"/>
          <c:order val="3"/>
          <c:tx>
            <c:strRef>
              <c:f>'4 Public Non-Charter Income'!$G$10</c:f>
              <c:strCache>
                <c:ptCount val="1"/>
                <c:pt idx="0">
                  <c:v>Four-year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D4-4C2A-995B-4FDF394932C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 Public Non-Charter Income'!$A$11:$A$18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'4 Public Non-Charter Income'!$T$8:$T$12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0.45669414595466601</c:v>
                </c:pt>
                <c:pt idx="4" formatCode="0.0%">
                  <c:v>0.48559017788266151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CD4-4C2A-995B-4FDF394932C9}"/>
            </c:ext>
          </c:extLst>
        </c:ser>
        <c:ser>
          <c:idx val="4"/>
          <c:order val="4"/>
          <c:tx>
            <c:strRef>
              <c:f>'4 Public Non-Charter Income'!$H$10</c:f>
              <c:strCache>
                <c:ptCount val="1"/>
                <c:pt idx="0">
                  <c:v>In-state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D4-4C2A-995B-4FDF394932C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 Public Non-Charter Income'!$A$11:$A$18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'4 Public Non-Charter Income'!$U$5:$U$12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0.47947939736964429</c:v>
                </c:pt>
                <c:pt idx="7" formatCode="0.0%">
                  <c:v>0.49095631469506978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CD4-4C2A-995B-4FDF394932C9}"/>
            </c:ext>
          </c:extLst>
        </c:ser>
        <c:ser>
          <c:idx val="5"/>
          <c:order val="5"/>
          <c:tx>
            <c:strRef>
              <c:f>'4 Public Non-Charter Income'!$I$10</c:f>
              <c:strCache>
                <c:ptCount val="1"/>
                <c:pt idx="0">
                  <c:v>Out-of-state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D4-4C2A-995B-4FDF394932C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 Public Non-Charter Income'!$A$11:$A$18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'4 Public Non-Charter Income'!$V$5:$V$12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0.15191944877368552</c:v>
                </c:pt>
                <c:pt idx="7" formatCode="0.0%">
                  <c:v>0.16049151143229634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CD4-4C2A-995B-4FDF39493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00272368"/>
        <c:axId val="500269624"/>
      </c:barChart>
      <c:catAx>
        <c:axId val="500272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500269624"/>
        <c:crosses val="autoZero"/>
        <c:auto val="1"/>
        <c:lblAlgn val="ctr"/>
        <c:lblOffset val="100"/>
        <c:noMultiLvlLbl val="0"/>
      </c:catAx>
      <c:valAx>
        <c:axId val="50026962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crossAx val="50027236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10395387323573"/>
          <c:y val="3.9007529729678886E-2"/>
          <c:w val="0.86844490824189147"/>
          <c:h val="0.8024169386550283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'4 Public Non-Charter Income'!$D$10</c:f>
              <c:strCache>
                <c:ptCount val="1"/>
                <c:pt idx="0">
                  <c:v>Public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 Public Non-Charter Income'!$A$40:$A$47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'4 Public Non-Charter Income'!$D$40:$D$41</c:f>
              <c:numCache>
                <c:formatCode>0.0%</c:formatCode>
                <c:ptCount val="2"/>
                <c:pt idx="0">
                  <c:v>0.47042556269764174</c:v>
                </c:pt>
                <c:pt idx="1">
                  <c:v>0.49661898002718985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67-41DD-B496-D66E845CA00F}"/>
            </c:ext>
          </c:extLst>
        </c:ser>
        <c:ser>
          <c:idx val="3"/>
          <c:order val="1"/>
          <c:tx>
            <c:strRef>
              <c:f>'4 Public Non-Charter Income'!$E$10</c:f>
              <c:strCache>
                <c:ptCount val="1"/>
                <c:pt idx="0">
                  <c:v>Private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67-41DD-B496-D66E845CA00F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67-41DD-B496-D66E845CA00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 Public Non-Charter Income'!$A$40:$A$47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'4 Public Non-Charter Income'!$E$40:$E$41</c:f>
              <c:numCache>
                <c:formatCode>0.0%</c:formatCode>
                <c:ptCount val="2"/>
                <c:pt idx="0">
                  <c:v>6.3755175715988405E-2</c:v>
                </c:pt>
                <c:pt idx="1">
                  <c:v>6.2928927745341909E-2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67-41DD-B496-D66E845CA00F}"/>
            </c:ext>
          </c:extLst>
        </c:ser>
        <c:ser>
          <c:idx val="0"/>
          <c:order val="2"/>
          <c:tx>
            <c:strRef>
              <c:f>'4 Public Non-Charter Income'!$F$10</c:f>
              <c:strCache>
                <c:ptCount val="1"/>
                <c:pt idx="0">
                  <c:v>Two-year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67-41DD-B496-D66E845CA00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 Public Non-Charter Income'!$A$40:$A$47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'4 Public Non-Charter Income'!$F$37:$F$41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0.24385424632618896</c:v>
                </c:pt>
                <c:pt idx="4" formatCode="0.0%">
                  <c:v>0.26775989036886083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67-41DD-B496-D66E845CA00F}"/>
            </c:ext>
          </c:extLst>
        </c:ser>
        <c:ser>
          <c:idx val="1"/>
          <c:order val="3"/>
          <c:tx>
            <c:strRef>
              <c:f>'4 Public Non-Charter Income'!$G$10</c:f>
              <c:strCache>
                <c:ptCount val="1"/>
                <c:pt idx="0">
                  <c:v>Four-year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67-41DD-B496-D66E845CA00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 Public Non-Charter Income'!$A$40:$A$47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'4 Public Non-Charter Income'!$G$37:$G$41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0.29027413209873992</c:v>
                </c:pt>
                <c:pt idx="4" formatCode="0.0%">
                  <c:v>0.29178801740367089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467-41DD-B496-D66E845CA00F}"/>
            </c:ext>
          </c:extLst>
        </c:ser>
        <c:ser>
          <c:idx val="4"/>
          <c:order val="4"/>
          <c:tx>
            <c:strRef>
              <c:f>'4 Public Non-Charter Income'!$H$10</c:f>
              <c:strCache>
                <c:ptCount val="1"/>
                <c:pt idx="0">
                  <c:v>In-state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467-41DD-B496-D66E845CA00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 Public Non-Charter Income'!$A$40:$A$47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'4 Public Non-Charter Income'!$H$34:$H$41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0.47763608429958182</c:v>
                </c:pt>
                <c:pt idx="7" formatCode="0.0%">
                  <c:v>0.50546248593512033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467-41DD-B496-D66E845CA00F}"/>
            </c:ext>
          </c:extLst>
        </c:ser>
        <c:ser>
          <c:idx val="5"/>
          <c:order val="5"/>
          <c:tx>
            <c:strRef>
              <c:f>'4 Public Non-Charter Income'!$I$10</c:f>
              <c:strCache>
                <c:ptCount val="1"/>
                <c:pt idx="0">
                  <c:v>Out-of-state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467-41DD-B496-D66E845CA00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 Public Non-Charter Income'!$A$40:$A$47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'4 Public Non-Charter Income'!$I$34:$I$41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5.6544654114048326E-2</c:v>
                </c:pt>
                <c:pt idx="7" formatCode="0.0%">
                  <c:v>5.4085421837411357E-2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467-41DD-B496-D66E845CA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00272368"/>
        <c:axId val="500269624"/>
      </c:barChart>
      <c:catAx>
        <c:axId val="500272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500269624"/>
        <c:crosses val="autoZero"/>
        <c:auto val="1"/>
        <c:lblAlgn val="ctr"/>
        <c:lblOffset val="100"/>
        <c:noMultiLvlLbl val="0"/>
      </c:catAx>
      <c:valAx>
        <c:axId val="50026962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crossAx val="50027236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10395387323573"/>
          <c:y val="3.9007529729678886E-2"/>
          <c:w val="0.86844490824189147"/>
          <c:h val="0.8024169386550283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'4 Public Non-Charter Income'!$D$10</c:f>
              <c:strCache>
                <c:ptCount val="1"/>
                <c:pt idx="0">
                  <c:v>Public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 Public Non-Charter Income'!$A$40:$A$47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'4 Public Non-Charter Income'!$Q$40:$Q$41</c:f>
              <c:numCache>
                <c:formatCode>0.0%</c:formatCode>
                <c:ptCount val="2"/>
                <c:pt idx="0">
                  <c:v>0.52079444631258753</c:v>
                </c:pt>
                <c:pt idx="1">
                  <c:v>0.5316401443687967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2-43C3-8624-63F36E704D02}"/>
            </c:ext>
          </c:extLst>
        </c:ser>
        <c:ser>
          <c:idx val="3"/>
          <c:order val="1"/>
          <c:tx>
            <c:strRef>
              <c:f>'4 Public Non-Charter Income'!$E$10</c:f>
              <c:strCache>
                <c:ptCount val="1"/>
                <c:pt idx="0">
                  <c:v>Private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 Public Non-Charter Income'!$A$40:$A$47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'4 Public Non-Charter Income'!$R$40:$R$41</c:f>
              <c:numCache>
                <c:formatCode>0.0%</c:formatCode>
                <c:ptCount val="2"/>
                <c:pt idx="0">
                  <c:v>0.13458617498035094</c:v>
                </c:pt>
                <c:pt idx="1">
                  <c:v>0.1312368413857217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82-43C3-8624-63F36E704D02}"/>
            </c:ext>
          </c:extLst>
        </c:ser>
        <c:ser>
          <c:idx val="0"/>
          <c:order val="2"/>
          <c:tx>
            <c:strRef>
              <c:f>'4 Public Non-Charter Income'!$F$10</c:f>
              <c:strCache>
                <c:ptCount val="1"/>
                <c:pt idx="0">
                  <c:v>Two-year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82-43C3-8624-63F36E704D0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 Public Non-Charter Income'!$A$40:$A$47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'4 Public Non-Charter Income'!$S$37:$S$41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0.19097680168978579</c:v>
                </c:pt>
                <c:pt idx="4" formatCode="0.0%">
                  <c:v>0.19078350149017034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82-43C3-8624-63F36E704D02}"/>
            </c:ext>
          </c:extLst>
        </c:ser>
        <c:ser>
          <c:idx val="1"/>
          <c:order val="3"/>
          <c:tx>
            <c:strRef>
              <c:f>'4 Public Non-Charter Income'!$G$10</c:f>
              <c:strCache>
                <c:ptCount val="1"/>
                <c:pt idx="0">
                  <c:v>Four-year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82-43C3-8624-63F36E704D0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 Public Non-Charter Income'!$A$40:$A$47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'4 Public Non-Charter Income'!$T$37:$T$41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0.4643997924683182</c:v>
                </c:pt>
                <c:pt idx="4" formatCode="0.0%">
                  <c:v>0.472093484264348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E82-43C3-8624-63F36E704D02}"/>
            </c:ext>
          </c:extLst>
        </c:ser>
        <c:ser>
          <c:idx val="4"/>
          <c:order val="4"/>
          <c:tx>
            <c:strRef>
              <c:f>'4 Public Non-Charter Income'!$H$10</c:f>
              <c:strCache>
                <c:ptCount val="1"/>
                <c:pt idx="0">
                  <c:v>In-state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E82-43C3-8624-63F36E704D0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 Public Non-Charter Income'!$A$40:$A$47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'4 Public Non-Charter Income'!$U$34:$U$41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0.4993452549948218</c:v>
                </c:pt>
                <c:pt idx="7" formatCode="0.0%">
                  <c:v>0.50513356847947943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E82-43C3-8624-63F36E704D02}"/>
            </c:ext>
          </c:extLst>
        </c:ser>
        <c:ser>
          <c:idx val="5"/>
          <c:order val="5"/>
          <c:tx>
            <c:strRef>
              <c:f>'4 Public Non-Charter Income'!$I$10</c:f>
              <c:strCache>
                <c:ptCount val="1"/>
                <c:pt idx="0">
                  <c:v>Out-of-state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E82-43C3-8624-63F36E704D0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 Public Non-Charter Income'!$A$40:$A$47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'4 Public Non-Charter Income'!$V$34:$V$41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0.15603536629811671</c:v>
                </c:pt>
                <c:pt idx="7" formatCode="0.0%">
                  <c:v>0.15774341727503896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E82-43C3-8624-63F36E704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00272368"/>
        <c:axId val="500269624"/>
      </c:barChart>
      <c:catAx>
        <c:axId val="500272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500269624"/>
        <c:crosses val="autoZero"/>
        <c:auto val="1"/>
        <c:lblAlgn val="ctr"/>
        <c:lblOffset val="100"/>
        <c:noMultiLvlLbl val="0"/>
      </c:catAx>
      <c:valAx>
        <c:axId val="50026962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crossAx val="50027236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10395387323573"/>
          <c:y val="3.9007529729678886E-2"/>
          <c:w val="0.86844490824189147"/>
          <c:h val="0.8024169386550283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'4 Public Non-Charter Income'!$D$10</c:f>
              <c:strCache>
                <c:ptCount val="1"/>
                <c:pt idx="0">
                  <c:v>Public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 Public Non-Charter Income'!$A$70:$A$77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'4 Public Non-Charter Income'!$D$70:$D$71</c:f>
              <c:numCache>
                <c:formatCode>0.0%</c:formatCode>
                <c:ptCount val="2"/>
                <c:pt idx="0">
                  <c:v>0.50416225392020819</c:v>
                </c:pt>
                <c:pt idx="1">
                  <c:v>0.51069866137555198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1B-4F06-8CBC-5BF3C628AF10}"/>
            </c:ext>
          </c:extLst>
        </c:ser>
        <c:ser>
          <c:idx val="3"/>
          <c:order val="1"/>
          <c:tx>
            <c:strRef>
              <c:f>'4 Public Non-Charter Income'!$E$10</c:f>
              <c:strCache>
                <c:ptCount val="1"/>
                <c:pt idx="0">
                  <c:v>Private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 Public Non-Charter Income'!$A$70:$A$77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'4 Public Non-Charter Income'!$E$70:$E$71</c:f>
              <c:numCache>
                <c:formatCode>0.0%</c:formatCode>
                <c:ptCount val="2"/>
                <c:pt idx="0">
                  <c:v>7.1554649898812661E-2</c:v>
                </c:pt>
                <c:pt idx="1">
                  <c:v>6.8982907219477918E-2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1B-4F06-8CBC-5BF3C628AF10}"/>
            </c:ext>
          </c:extLst>
        </c:ser>
        <c:ser>
          <c:idx val="0"/>
          <c:order val="2"/>
          <c:tx>
            <c:strRef>
              <c:f>'4 Public Non-Charter Income'!$F$10</c:f>
              <c:strCache>
                <c:ptCount val="1"/>
                <c:pt idx="0">
                  <c:v>Two-year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1B-4F06-8CBC-5BF3C628AF1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 Public Non-Charter Income'!$A$70:$A$77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'4 Public Non-Charter Income'!$F$67:$F$71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0.28106427871547429</c:v>
                </c:pt>
                <c:pt idx="4" formatCode="0.0%">
                  <c:v>0.27580899627279554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1B-4F06-8CBC-5BF3C628AF10}"/>
            </c:ext>
          </c:extLst>
        </c:ser>
        <c:ser>
          <c:idx val="1"/>
          <c:order val="3"/>
          <c:tx>
            <c:strRef>
              <c:f>'4 Public Non-Charter Income'!$G$10</c:f>
              <c:strCache>
                <c:ptCount val="1"/>
                <c:pt idx="0">
                  <c:v>Four-year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1B-4F06-8CBC-5BF3C628AF1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 Public Non-Charter Income'!$A$70:$A$77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'4 Public Non-Charter Income'!$G$67:$G$71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0.29457223447499675</c:v>
                </c:pt>
                <c:pt idx="4" formatCode="0.0%">
                  <c:v>0.30380229970581951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1B-4F06-8CBC-5BF3C628AF10}"/>
            </c:ext>
          </c:extLst>
        </c:ser>
        <c:ser>
          <c:idx val="4"/>
          <c:order val="4"/>
          <c:tx>
            <c:strRef>
              <c:f>'4 Public Non-Charter Income'!$H$10</c:f>
              <c:strCache>
                <c:ptCount val="1"/>
                <c:pt idx="0">
                  <c:v>In-state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1B-4F06-8CBC-5BF3C628AF1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 Public Non-Charter Income'!$A$70:$A$77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'4 Public Non-Charter Income'!$H$64:$H$71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0.5157303488603755</c:v>
                </c:pt>
                <c:pt idx="7" formatCode="0.0%">
                  <c:v>0.51593328235123903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11B-4F06-8CBC-5BF3C628AF10}"/>
            </c:ext>
          </c:extLst>
        </c:ser>
        <c:ser>
          <c:idx val="5"/>
          <c:order val="5"/>
          <c:tx>
            <c:strRef>
              <c:f>'4 Public Non-Charter Income'!$I$10</c:f>
              <c:strCache>
                <c:ptCount val="1"/>
                <c:pt idx="0">
                  <c:v>Out-of-state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1B-4F06-8CBC-5BF3C628AF1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 Public Non-Charter Income'!$A$70:$A$77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'4 Public Non-Charter Income'!$I$64:$I$71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5.9986554958645431E-2</c:v>
                </c:pt>
                <c:pt idx="7" formatCode="0.0%">
                  <c:v>6.3748286243790864E-2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11B-4F06-8CBC-5BF3C628A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00272368"/>
        <c:axId val="500269624"/>
      </c:barChart>
      <c:catAx>
        <c:axId val="500272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500269624"/>
        <c:crosses val="autoZero"/>
        <c:auto val="1"/>
        <c:lblAlgn val="ctr"/>
        <c:lblOffset val="100"/>
        <c:noMultiLvlLbl val="0"/>
      </c:catAx>
      <c:valAx>
        <c:axId val="50026962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crossAx val="50027236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10395387323573"/>
          <c:y val="3.9007529729678886E-2"/>
          <c:w val="0.86844490824189147"/>
          <c:h val="0.8024169386550283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'4 Public Non-Charter Income'!$D$10</c:f>
              <c:strCache>
                <c:ptCount val="1"/>
                <c:pt idx="0">
                  <c:v>Public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 Public Non-Charter Income'!$A$70:$A$77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'4 Public Non-Charter Income'!$Q$70:$Q$71</c:f>
              <c:numCache>
                <c:formatCode>0.0%</c:formatCode>
                <c:ptCount val="2"/>
                <c:pt idx="0">
                  <c:v>0.56582071226805097</c:v>
                </c:pt>
                <c:pt idx="1">
                  <c:v>0.55346524884672921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73-4CC9-BDD8-EE56CA3CFAF7}"/>
            </c:ext>
          </c:extLst>
        </c:ser>
        <c:ser>
          <c:idx val="3"/>
          <c:order val="1"/>
          <c:tx>
            <c:strRef>
              <c:f>'4 Public Non-Charter Income'!$E$10</c:f>
              <c:strCache>
                <c:ptCount val="1"/>
                <c:pt idx="0">
                  <c:v>Private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 Public Non-Charter Income'!$A$70:$A$77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'4 Public Non-Charter Income'!$R$70:$R$71</c:f>
              <c:numCache>
                <c:formatCode>0.0%</c:formatCode>
                <c:ptCount val="2"/>
                <c:pt idx="0">
                  <c:v>0.14100050798356031</c:v>
                </c:pt>
                <c:pt idx="1">
                  <c:v>0.13978185010601432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73-4CC9-BDD8-EE56CA3CFAF7}"/>
            </c:ext>
          </c:extLst>
        </c:ser>
        <c:ser>
          <c:idx val="0"/>
          <c:order val="2"/>
          <c:tx>
            <c:strRef>
              <c:f>'4 Public Non-Charter Income'!$F$10</c:f>
              <c:strCache>
                <c:ptCount val="1"/>
                <c:pt idx="0">
                  <c:v>Two-year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73-4CC9-BDD8-EE56CA3CFA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 Public Non-Charter Income'!$A$70:$A$77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'4 Public Non-Charter Income'!$S$67:$S$71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0.2236856368179683</c:v>
                </c:pt>
                <c:pt idx="4" formatCode="0.0%">
                  <c:v>0.21457312706348711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73-4CC9-BDD8-EE56CA3CFAF7}"/>
            </c:ext>
          </c:extLst>
        </c:ser>
        <c:ser>
          <c:idx val="1"/>
          <c:order val="3"/>
          <c:tx>
            <c:strRef>
              <c:f>'4 Public Non-Charter Income'!$G$10</c:f>
              <c:strCache>
                <c:ptCount val="1"/>
                <c:pt idx="0">
                  <c:v>Four-year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73-4CC9-BDD8-EE56CA3CFA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 Public Non-Charter Income'!$A$70:$A$77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'4 Public Non-Charter Income'!$T$67:$T$71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0.4831284985862187</c:v>
                </c:pt>
                <c:pt idx="4" formatCode="0.0%">
                  <c:v>0.47866927356528288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73-4CC9-BDD8-EE56CA3CFAF7}"/>
            </c:ext>
          </c:extLst>
        </c:ser>
        <c:ser>
          <c:idx val="4"/>
          <c:order val="4"/>
          <c:tx>
            <c:strRef>
              <c:f>'4 Public Non-Charter Income'!$H$10</c:f>
              <c:strCache>
                <c:ptCount val="1"/>
                <c:pt idx="0">
                  <c:v>In-state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73-4CC9-BDD8-EE56CA3CFA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 Public Non-Charter Income'!$A$70:$A$77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'4 Public Non-Charter Income'!$U$64:$U$71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0.55021775278558493</c:v>
                </c:pt>
                <c:pt idx="7" formatCode="0.0%">
                  <c:v>0.52903463537314421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273-4CC9-BDD8-EE56CA3CFAF7}"/>
            </c:ext>
          </c:extLst>
        </c:ser>
        <c:ser>
          <c:idx val="5"/>
          <c:order val="5"/>
          <c:tx>
            <c:strRef>
              <c:f>'4 Public Non-Charter Income'!$I$10</c:f>
              <c:strCache>
                <c:ptCount val="1"/>
                <c:pt idx="0">
                  <c:v>Out-of-state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273-4CC9-BDD8-EE56CA3CFA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 Public Non-Charter Income'!$A$70:$A$77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'4 Public Non-Charter Income'!$V$64:$V$71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0.15660346746602638</c:v>
                </c:pt>
                <c:pt idx="7" formatCode="0.0%">
                  <c:v>0.16421246357959934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273-4CC9-BDD8-EE56CA3CF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00272368"/>
        <c:axId val="500269624"/>
      </c:barChart>
      <c:catAx>
        <c:axId val="500272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500269624"/>
        <c:crosses val="autoZero"/>
        <c:auto val="1"/>
        <c:lblAlgn val="ctr"/>
        <c:lblOffset val="100"/>
        <c:noMultiLvlLbl val="0"/>
      </c:catAx>
      <c:valAx>
        <c:axId val="50026962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crossAx val="50027236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 Public Non-Charter Income'!$A$100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 Public Non-Charter Income'!$C$99:$I$99</c:f>
              <c:strCache>
                <c:ptCount val="7"/>
                <c:pt idx="0">
                  <c:v>Total</c:v>
                </c:pt>
                <c:pt idx="1">
                  <c:v>Public</c:v>
                </c:pt>
                <c:pt idx="2">
                  <c:v>Private</c:v>
                </c:pt>
                <c:pt idx="3">
                  <c:v>Two-year</c:v>
                </c:pt>
                <c:pt idx="4">
                  <c:v>Four-year</c:v>
                </c:pt>
                <c:pt idx="5">
                  <c:v>In-state</c:v>
                </c:pt>
                <c:pt idx="6">
                  <c:v>Out-of-state</c:v>
                </c:pt>
              </c:strCache>
            </c:strRef>
          </c:cat>
          <c:val>
            <c:numRef>
              <c:f>'4 Public Non-Charter Income'!$C$100:$I$100</c:f>
              <c:numCache>
                <c:formatCode>0.0%</c:formatCode>
                <c:ptCount val="7"/>
                <c:pt idx="0">
                  <c:v>0.74897903621018236</c:v>
                </c:pt>
                <c:pt idx="1">
                  <c:v>0.74292830368772189</c:v>
                </c:pt>
                <c:pt idx="2">
                  <c:v>0.79182286991569428</c:v>
                </c:pt>
                <c:pt idx="3">
                  <c:v>0.65762528692101996</c:v>
                </c:pt>
                <c:pt idx="4">
                  <c:v>0.83058302656041949</c:v>
                </c:pt>
                <c:pt idx="5">
                  <c:v>0.74471008252948523</c:v>
                </c:pt>
                <c:pt idx="6">
                  <c:v>0.78760093660415342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A1-483B-9270-010EF91646B1}"/>
            </c:ext>
          </c:extLst>
        </c:ser>
        <c:ser>
          <c:idx val="1"/>
          <c:order val="1"/>
          <c:tx>
            <c:strRef>
              <c:f>'4 Public Non-Charter Income'!$A$101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 Public Non-Charter Income'!$C$99:$I$99</c:f>
              <c:strCache>
                <c:ptCount val="7"/>
                <c:pt idx="0">
                  <c:v>Total</c:v>
                </c:pt>
                <c:pt idx="1">
                  <c:v>Public</c:v>
                </c:pt>
                <c:pt idx="2">
                  <c:v>Private</c:v>
                </c:pt>
                <c:pt idx="3">
                  <c:v>Two-year</c:v>
                </c:pt>
                <c:pt idx="4">
                  <c:v>Four-year</c:v>
                </c:pt>
                <c:pt idx="5">
                  <c:v>In-state</c:v>
                </c:pt>
                <c:pt idx="6">
                  <c:v>Out-of-state</c:v>
                </c:pt>
              </c:strCache>
            </c:strRef>
          </c:cat>
          <c:val>
            <c:numRef>
              <c:f>'4 Public Non-Charter Income'!$C$101:$I$101</c:f>
              <c:numCache>
                <c:formatCode>0.0%</c:formatCode>
                <c:ptCount val="7"/>
                <c:pt idx="0">
                  <c:v>0.7832304561247837</c:v>
                </c:pt>
                <c:pt idx="1">
                  <c:v>0.77743996203966503</c:v>
                </c:pt>
                <c:pt idx="2">
                  <c:v>0.82595634320293931</c:v>
                </c:pt>
                <c:pt idx="3">
                  <c:v>0.70131543260103069</c:v>
                </c:pt>
                <c:pt idx="4">
                  <c:v>0.85217762798756325</c:v>
                </c:pt>
                <c:pt idx="5">
                  <c:v>0.77917851847150665</c:v>
                </c:pt>
                <c:pt idx="6">
                  <c:v>0.81745741647781267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A1-483B-9270-010EF9164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-27"/>
        <c:axId val="450104607"/>
        <c:axId val="450102207"/>
      </c:barChart>
      <c:catAx>
        <c:axId val="450104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102207"/>
        <c:crosses val="autoZero"/>
        <c:auto val="1"/>
        <c:lblAlgn val="ctr"/>
        <c:lblOffset val="100"/>
        <c:noMultiLvlLbl val="0"/>
      </c:catAx>
      <c:valAx>
        <c:axId val="450102207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104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 Public Non-Charter Income'!$A$100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 Public Non-Charter Income'!$P$99:$V$99</c:f>
              <c:strCache>
                <c:ptCount val="7"/>
                <c:pt idx="0">
                  <c:v>Total</c:v>
                </c:pt>
                <c:pt idx="1">
                  <c:v>Public</c:v>
                </c:pt>
                <c:pt idx="2">
                  <c:v>Private</c:v>
                </c:pt>
                <c:pt idx="3">
                  <c:v>Two-year</c:v>
                </c:pt>
                <c:pt idx="4">
                  <c:v>Four-year</c:v>
                </c:pt>
                <c:pt idx="5">
                  <c:v>In-state</c:v>
                </c:pt>
                <c:pt idx="6">
                  <c:v>Out-of-state</c:v>
                </c:pt>
              </c:strCache>
            </c:strRef>
          </c:cat>
          <c:val>
            <c:numRef>
              <c:f>'4 Public Non-Charter Income'!$P$100:$V$100</c:f>
              <c:numCache>
                <c:formatCode>0.0%</c:formatCode>
                <c:ptCount val="7"/>
                <c:pt idx="0">
                  <c:v>0.85644108960743326</c:v>
                </c:pt>
                <c:pt idx="1">
                  <c:v>0.84214270856656814</c:v>
                </c:pt>
                <c:pt idx="2">
                  <c:v>0.9130676600991684</c:v>
                </c:pt>
                <c:pt idx="3">
                  <c:v>0.72420648138084331</c:v>
                </c:pt>
                <c:pt idx="4">
                  <c:v>0.91358097627184376</c:v>
                </c:pt>
                <c:pt idx="5">
                  <c:v>0.84002415344220471</c:v>
                </c:pt>
                <c:pt idx="6">
                  <c:v>0.91449189829809086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A2-45C5-AC38-97AD174B7031}"/>
            </c:ext>
          </c:extLst>
        </c:ser>
        <c:ser>
          <c:idx val="1"/>
          <c:order val="1"/>
          <c:tx>
            <c:strRef>
              <c:f>'4 Public Non-Charter Income'!$A$101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 Public Non-Charter Income'!$P$99:$V$99</c:f>
              <c:strCache>
                <c:ptCount val="7"/>
                <c:pt idx="0">
                  <c:v>Total</c:v>
                </c:pt>
                <c:pt idx="1">
                  <c:v>Public</c:v>
                </c:pt>
                <c:pt idx="2">
                  <c:v>Private</c:v>
                </c:pt>
                <c:pt idx="3">
                  <c:v>Two-year</c:v>
                </c:pt>
                <c:pt idx="4">
                  <c:v>Four-year</c:v>
                </c:pt>
                <c:pt idx="5">
                  <c:v>In-state</c:v>
                </c:pt>
                <c:pt idx="6">
                  <c:v>Out-of-state</c:v>
                </c:pt>
              </c:strCache>
            </c:strRef>
          </c:cat>
          <c:val>
            <c:numRef>
              <c:f>'4 Public Non-Charter Income'!$P$101:$V$101</c:f>
              <c:numCache>
                <c:formatCode>0.0%</c:formatCode>
                <c:ptCount val="7"/>
                <c:pt idx="0">
                  <c:v>0.86713052526148371</c:v>
                </c:pt>
                <c:pt idx="1">
                  <c:v>0.85398516357187781</c:v>
                </c:pt>
                <c:pt idx="2">
                  <c:v>0.91799779572010631</c:v>
                </c:pt>
                <c:pt idx="3">
                  <c:v>0.74065756409580541</c:v>
                </c:pt>
                <c:pt idx="4">
                  <c:v>0.91914797674828663</c:v>
                </c:pt>
                <c:pt idx="5">
                  <c:v>0.85026298068069861</c:v>
                </c:pt>
                <c:pt idx="6">
                  <c:v>0.92111013610007053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A2-45C5-AC38-97AD174B7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-27"/>
        <c:axId val="450104607"/>
        <c:axId val="450102207"/>
      </c:barChart>
      <c:catAx>
        <c:axId val="450104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102207"/>
        <c:crosses val="autoZero"/>
        <c:auto val="1"/>
        <c:lblAlgn val="ctr"/>
        <c:lblOffset val="100"/>
        <c:noMultiLvlLbl val="0"/>
      </c:catAx>
      <c:valAx>
        <c:axId val="450102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104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10395387323573"/>
          <c:y val="3.9007529729678886E-2"/>
          <c:w val="0.86844490824189147"/>
          <c:h val="0.8024169386550283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'4 Public Non-Charter Income'!$D$10</c:f>
              <c:strCache>
                <c:ptCount val="1"/>
                <c:pt idx="0">
                  <c:v>Public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 Public Non-Charter Income'!$A$130:$A$137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'4 Public Non-Charter Income'!$D$130:$D$131</c:f>
              <c:numCache>
                <c:formatCode>0.0%</c:formatCode>
                <c:ptCount val="2"/>
                <c:pt idx="0">
                  <c:v>0.24272107962388029</c:v>
                </c:pt>
                <c:pt idx="1">
                  <c:v>0.24143709142220898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A1-44DA-BB22-36C6744BED4D}"/>
            </c:ext>
          </c:extLst>
        </c:ser>
        <c:ser>
          <c:idx val="3"/>
          <c:order val="1"/>
          <c:tx>
            <c:strRef>
              <c:f>'4 Public Non-Charter Income'!$E$10</c:f>
              <c:strCache>
                <c:ptCount val="1"/>
                <c:pt idx="0">
                  <c:v>Private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 Public Non-Charter Income'!$A$130:$A$137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'4 Public Non-Charter Income'!$E$130:$E$131</c:f>
              <c:numCache>
                <c:formatCode>0.0%</c:formatCode>
                <c:ptCount val="2"/>
                <c:pt idx="0">
                  <c:v>4.711750840251664E-2</c:v>
                </c:pt>
                <c:pt idx="1">
                  <c:v>4.7418449802118817E-2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A1-44DA-BB22-36C6744BED4D}"/>
            </c:ext>
          </c:extLst>
        </c:ser>
        <c:ser>
          <c:idx val="0"/>
          <c:order val="2"/>
          <c:tx>
            <c:strRef>
              <c:f>'4 Public Non-Charter Income'!$F$10</c:f>
              <c:strCache>
                <c:ptCount val="1"/>
                <c:pt idx="0">
                  <c:v>Two-year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A1-44DA-BB22-36C6744BED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 Public Non-Charter Income'!$A$130:$A$137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'4 Public Non-Charter Income'!$F$127:$F$131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9.3824841765533698E-2</c:v>
                </c:pt>
                <c:pt idx="4" formatCode="0.0%">
                  <c:v>9.4481374915941843E-2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A1-44DA-BB22-36C6744BED4D}"/>
            </c:ext>
          </c:extLst>
        </c:ser>
        <c:ser>
          <c:idx val="1"/>
          <c:order val="3"/>
          <c:tx>
            <c:strRef>
              <c:f>'4 Public Non-Charter Income'!$G$10</c:f>
              <c:strCache>
                <c:ptCount val="1"/>
                <c:pt idx="0">
                  <c:v>Four-year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A1-44DA-BB22-36C6744BED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 Public Non-Charter Income'!$A$130:$A$137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'4 Public Non-Charter Income'!$G$127:$G$131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0.19576818094116283</c:v>
                </c:pt>
                <c:pt idx="4" formatCode="0.0%">
                  <c:v>0.19414128385752555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A1-44DA-BB22-36C6744BED4D}"/>
            </c:ext>
          </c:extLst>
        </c:ser>
        <c:ser>
          <c:idx val="4"/>
          <c:order val="4"/>
          <c:tx>
            <c:strRef>
              <c:f>'4 Public Non-Charter Income'!$H$10</c:f>
              <c:strCache>
                <c:ptCount val="1"/>
                <c:pt idx="0">
                  <c:v>In-state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7A1-44DA-BB22-36C6744BED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 Public Non-Charter Income'!$A$130:$A$137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'4 Public Non-Charter Income'!$H$124:$H$131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0.25454329572945716</c:v>
                </c:pt>
                <c:pt idx="7" formatCode="0.0%">
                  <c:v>0.25385840746987687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7A1-44DA-BB22-36C6744BED4D}"/>
            </c:ext>
          </c:extLst>
        </c:ser>
        <c:ser>
          <c:idx val="5"/>
          <c:order val="5"/>
          <c:tx>
            <c:strRef>
              <c:f>'4 Public Non-Charter Income'!$I$10</c:f>
              <c:strCache>
                <c:ptCount val="1"/>
                <c:pt idx="0">
                  <c:v>Out-of-state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7A1-44DA-BB22-36C6744BED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 Public Non-Charter Income'!$A$130:$A$137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'4 Public Non-Charter Income'!$I$124:$I$131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3.5295292296939743E-2</c:v>
                </c:pt>
                <c:pt idx="7" formatCode="0.0%">
                  <c:v>3.4997133754450946E-2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7A1-44DA-BB22-36C6744BE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00272368"/>
        <c:axId val="500269624"/>
      </c:barChart>
      <c:catAx>
        <c:axId val="500272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500269624"/>
        <c:crosses val="autoZero"/>
        <c:auto val="1"/>
        <c:lblAlgn val="ctr"/>
        <c:lblOffset val="100"/>
        <c:noMultiLvlLbl val="0"/>
      </c:catAx>
      <c:valAx>
        <c:axId val="50026962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crossAx val="50027236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10395387323573"/>
          <c:y val="3.9007529729678886E-2"/>
          <c:w val="0.86844490824189147"/>
          <c:h val="0.8024169386550283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'3 Public Non-Charter Poverty'!$Q$10</c:f>
              <c:strCache>
                <c:ptCount val="1"/>
                <c:pt idx="0">
                  <c:v>Public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 Public Non-Charter Poverty'!$A$11:$A$18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'3 Public Non-Charter Poverty'!$Q$11:$Q$12</c:f>
              <c:numCache>
                <c:formatCode>0.0%</c:formatCode>
                <c:ptCount val="2"/>
                <c:pt idx="0">
                  <c:v>0.56241040090958527</c:v>
                </c:pt>
                <c:pt idx="1">
                  <c:v>0.57372263528001533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6-4966-AB58-B36B1D5E0AED}"/>
            </c:ext>
          </c:extLst>
        </c:ser>
        <c:ser>
          <c:idx val="3"/>
          <c:order val="1"/>
          <c:tx>
            <c:strRef>
              <c:f>'3 Public Non-Charter Poverty'!$E$10</c:f>
              <c:strCache>
                <c:ptCount val="1"/>
                <c:pt idx="0">
                  <c:v>Private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 Public Non-Charter Poverty'!$A$11:$A$18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'3 Public Non-Charter Poverty'!$R$11:$R$12</c:f>
              <c:numCache>
                <c:formatCode>0.0%</c:formatCode>
                <c:ptCount val="2"/>
                <c:pt idx="0">
                  <c:v>0.15018226491853462</c:v>
                </c:pt>
                <c:pt idx="1">
                  <c:v>0.1589569243010597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16-4966-AB58-B36B1D5E0AED}"/>
            </c:ext>
          </c:extLst>
        </c:ser>
        <c:ser>
          <c:idx val="0"/>
          <c:order val="2"/>
          <c:tx>
            <c:strRef>
              <c:f>'3 Public Non-Charter Poverty'!$F$10</c:f>
              <c:strCache>
                <c:ptCount val="1"/>
                <c:pt idx="0">
                  <c:v>Two-year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16-4966-AB58-B36B1D5E0AE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 Public Non-Charter Poverty'!$A$11:$A$18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'3 Public Non-Charter Poverty'!$S$8:$S$12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0.17081088206699951</c:v>
                </c:pt>
                <c:pt idx="4" formatCode="0.0%">
                  <c:v>0.14291397777238132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16-4966-AB58-B36B1D5E0AED}"/>
            </c:ext>
          </c:extLst>
        </c:ser>
        <c:ser>
          <c:idx val="1"/>
          <c:order val="3"/>
          <c:tx>
            <c:strRef>
              <c:f>'3 Public Non-Charter Poverty'!$G$10</c:f>
              <c:strCache>
                <c:ptCount val="1"/>
                <c:pt idx="0">
                  <c:v>Four-year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16-4966-AB58-B36B1D5E0AE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 Public Non-Charter Poverty'!$A$11:$A$18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'3 Public Non-Charter Poverty'!$T$8:$T$12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0.54178178376112041</c:v>
                </c:pt>
                <c:pt idx="4" formatCode="0.0%">
                  <c:v>0.58976558180869365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16-4966-AB58-B36B1D5E0AED}"/>
            </c:ext>
          </c:extLst>
        </c:ser>
        <c:ser>
          <c:idx val="4"/>
          <c:order val="4"/>
          <c:tx>
            <c:strRef>
              <c:f>'3 Public Non-Charter Poverty'!$H$10</c:f>
              <c:strCache>
                <c:ptCount val="1"/>
                <c:pt idx="0">
                  <c:v>In-state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16-4966-AB58-B36B1D5E0AE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 Public Non-Charter Poverty'!$A$11:$A$18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'3 Public Non-Charter Poverty'!$U$5:$U$12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0.49808580640554539</c:v>
                </c:pt>
                <c:pt idx="7" formatCode="0.0%">
                  <c:v>0.51322186800865954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816-4966-AB58-B36B1D5E0AED}"/>
            </c:ext>
          </c:extLst>
        </c:ser>
        <c:ser>
          <c:idx val="5"/>
          <c:order val="5"/>
          <c:tx>
            <c:strRef>
              <c:f>'3 Public Non-Charter Poverty'!$I$10</c:f>
              <c:strCache>
                <c:ptCount val="1"/>
                <c:pt idx="0">
                  <c:v>Out-of-state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16-4966-AB58-B36B1D5E0AE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 Public Non-Charter Poverty'!$A$11:$A$18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'3 Public Non-Charter Poverty'!$V$5:$V$12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0.2145068594225745</c:v>
                </c:pt>
                <c:pt idx="7" formatCode="0.0%">
                  <c:v>0.21945769157241543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816-4966-AB58-B36B1D5E0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00272368"/>
        <c:axId val="500269624"/>
      </c:barChart>
      <c:catAx>
        <c:axId val="500272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500269624"/>
        <c:crosses val="autoZero"/>
        <c:auto val="1"/>
        <c:lblAlgn val="ctr"/>
        <c:lblOffset val="100"/>
        <c:noMultiLvlLbl val="0"/>
      </c:catAx>
      <c:valAx>
        <c:axId val="50026962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crossAx val="50027236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10395387323573"/>
          <c:y val="3.9007529729678886E-2"/>
          <c:w val="0.86844490824189147"/>
          <c:h val="0.8024169386550283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'4 Public Non-Charter Income'!$D$10</c:f>
              <c:strCache>
                <c:ptCount val="1"/>
                <c:pt idx="0">
                  <c:v>Public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 Public Non-Charter Income'!$A$130:$A$137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'4 Public Non-Charter Income'!$Q$130:$Q$131</c:f>
              <c:numCache>
                <c:formatCode>0.0%</c:formatCode>
                <c:ptCount val="2"/>
                <c:pt idx="0">
                  <c:v>0.37673481818555205</c:v>
                </c:pt>
                <c:pt idx="1">
                  <c:v>0.36975681117190751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F1-4CC7-95AF-22C16A0FA3D3}"/>
            </c:ext>
          </c:extLst>
        </c:ser>
        <c:ser>
          <c:idx val="3"/>
          <c:order val="1"/>
          <c:tx>
            <c:strRef>
              <c:f>'4 Public Non-Charter Income'!$E$10</c:f>
              <c:strCache>
                <c:ptCount val="1"/>
                <c:pt idx="0">
                  <c:v>Private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 Public Non-Charter Income'!$A$130:$A$137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'4 Public Non-Charter Income'!$R$130:$R$131</c:f>
              <c:numCache>
                <c:formatCode>0.0%</c:formatCode>
                <c:ptCount val="2"/>
                <c:pt idx="0">
                  <c:v>0.12243869966808973</c:v>
                </c:pt>
                <c:pt idx="1">
                  <c:v>0.11910463790921628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F1-4CC7-95AF-22C16A0FA3D3}"/>
            </c:ext>
          </c:extLst>
        </c:ser>
        <c:ser>
          <c:idx val="0"/>
          <c:order val="2"/>
          <c:tx>
            <c:strRef>
              <c:f>'4 Public Non-Charter Income'!$F$10</c:f>
              <c:strCache>
                <c:ptCount val="1"/>
                <c:pt idx="0">
                  <c:v>Two-year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F1-4CC7-95AF-22C16A0FA3D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 Public Non-Charter Income'!$A$130:$A$137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'4 Public Non-Charter Income'!$S$127:$S$131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9.3006170911703184E-2</c:v>
                </c:pt>
                <c:pt idx="4" formatCode="0.0%">
                  <c:v>9.0652083514077067E-2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F1-4CC7-95AF-22C16A0FA3D3}"/>
            </c:ext>
          </c:extLst>
        </c:ser>
        <c:ser>
          <c:idx val="1"/>
          <c:order val="3"/>
          <c:tx>
            <c:strRef>
              <c:f>'4 Public Non-Charter Income'!$G$10</c:f>
              <c:strCache>
                <c:ptCount val="1"/>
                <c:pt idx="0">
                  <c:v>Four-year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F1-4CC7-95AF-22C16A0FA3D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 Public Non-Charter Income'!$A$130:$A$137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'4 Public Non-Charter Income'!$T$127:$T$131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0.40612937448514386</c:v>
                </c:pt>
                <c:pt idx="4" formatCode="0.0%">
                  <c:v>0.39818094517257163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F1-4CC7-95AF-22C16A0FA3D3}"/>
            </c:ext>
          </c:extLst>
        </c:ser>
        <c:ser>
          <c:idx val="4"/>
          <c:order val="4"/>
          <c:tx>
            <c:strRef>
              <c:f>'4 Public Non-Charter Income'!$H$10</c:f>
              <c:strCache>
                <c:ptCount val="1"/>
                <c:pt idx="0">
                  <c:v>In-state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DF1-4CC7-95AF-22C16A0FA3D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 Public Non-Charter Income'!$A$130:$A$137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'4 Public Non-Charter Income'!$U$124:$U$131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0.37243928087916311</c:v>
                </c:pt>
                <c:pt idx="7" formatCode="0.0%">
                  <c:v>0.36500462205362777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DF1-4CC7-95AF-22C16A0FA3D3}"/>
            </c:ext>
          </c:extLst>
        </c:ser>
        <c:ser>
          <c:idx val="5"/>
          <c:order val="5"/>
          <c:tx>
            <c:strRef>
              <c:f>'4 Public Non-Charter Income'!$I$10</c:f>
              <c:strCache>
                <c:ptCount val="1"/>
                <c:pt idx="0">
                  <c:v>Out-of-state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DF1-4CC7-95AF-22C16A0FA3D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 Public Non-Charter Income'!$A$130:$A$137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'4 Public Non-Charter Income'!$V$124:$V$131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0.12673423697447864</c:v>
                </c:pt>
                <c:pt idx="7" formatCode="0.0%">
                  <c:v>0.12385682702749598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DF1-4CC7-95AF-22C16A0FA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00272368"/>
        <c:axId val="500269624"/>
      </c:barChart>
      <c:catAx>
        <c:axId val="500272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500269624"/>
        <c:crosses val="autoZero"/>
        <c:auto val="1"/>
        <c:lblAlgn val="ctr"/>
        <c:lblOffset val="100"/>
        <c:noMultiLvlLbl val="0"/>
      </c:catAx>
      <c:valAx>
        <c:axId val="50026962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crossAx val="50027236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10395387323573"/>
          <c:y val="3.9007529729678886E-2"/>
          <c:w val="0.86844490824189147"/>
          <c:h val="0.8024169386550283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'5 Public Non-Charter Minority'!$D$10</c:f>
              <c:strCache>
                <c:ptCount val="1"/>
                <c:pt idx="0">
                  <c:v>Public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 Public Non-Charter Minority'!$A$11:$A$18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'5 Public Non-Charter Minority'!$D$11:$D$12</c:f>
              <c:numCache>
                <c:formatCode>0.0%</c:formatCode>
                <c:ptCount val="2"/>
                <c:pt idx="0">
                  <c:v>0.47141311172058287</c:v>
                </c:pt>
                <c:pt idx="1">
                  <c:v>0.47179318642507351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9A-4E7D-B42C-D4D4F8E7D533}"/>
            </c:ext>
          </c:extLst>
        </c:ser>
        <c:ser>
          <c:idx val="3"/>
          <c:order val="1"/>
          <c:tx>
            <c:strRef>
              <c:f>'5 Public Non-Charter Minority'!$E$10</c:f>
              <c:strCache>
                <c:ptCount val="1"/>
                <c:pt idx="0">
                  <c:v>Private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 Public Non-Charter Minority'!$A$11:$A$18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'5 Public Non-Charter Minority'!$E$11:$E$12</c:f>
              <c:numCache>
                <c:formatCode>0.0%</c:formatCode>
                <c:ptCount val="2"/>
                <c:pt idx="0">
                  <c:v>6.8138072894293356E-2</c:v>
                </c:pt>
                <c:pt idx="1">
                  <c:v>7.3526912484200735E-2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9A-4E7D-B42C-D4D4F8E7D533}"/>
            </c:ext>
          </c:extLst>
        </c:ser>
        <c:ser>
          <c:idx val="0"/>
          <c:order val="2"/>
          <c:tx>
            <c:strRef>
              <c:f>'5 Public Non-Charter Minority'!$F$10</c:f>
              <c:strCache>
                <c:ptCount val="1"/>
                <c:pt idx="0">
                  <c:v>Two-year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9A-4E7D-B42C-D4D4F8E7D53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 Public Non-Charter Minority'!$A$11:$A$18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'5 Public Non-Charter Minority'!$F$8:$F$12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0.22501177180054852</c:v>
                </c:pt>
                <c:pt idx="4" formatCode="0.0%">
                  <c:v>0.21389749586658729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9A-4E7D-B42C-D4D4F8E7D533}"/>
            </c:ext>
          </c:extLst>
        </c:ser>
        <c:ser>
          <c:idx val="1"/>
          <c:order val="3"/>
          <c:tx>
            <c:strRef>
              <c:f>'5 Public Non-Charter Minority'!$G$10</c:f>
              <c:strCache>
                <c:ptCount val="1"/>
                <c:pt idx="0">
                  <c:v>Four-year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9A-4E7D-B42C-D4D4F8E7D53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 Public Non-Charter Minority'!$A$11:$A$18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'5 Public Non-Charter Minority'!$G$8:$G$12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0.31453941281432773</c:v>
                </c:pt>
                <c:pt idx="4" formatCode="0.0%">
                  <c:v>0.331422603042687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59A-4E7D-B42C-D4D4F8E7D533}"/>
            </c:ext>
          </c:extLst>
        </c:ser>
        <c:ser>
          <c:idx val="4"/>
          <c:order val="4"/>
          <c:tx>
            <c:strRef>
              <c:f>'5 Public Non-Charter Minority'!$H$10</c:f>
              <c:strCache>
                <c:ptCount val="1"/>
                <c:pt idx="0">
                  <c:v>In-state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9A-4E7D-B42C-D4D4F8E7D53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 Public Non-Charter Minority'!$A$11:$A$18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'5 Public Non-Charter Minority'!$H$5:$H$12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0.47372203681062686</c:v>
                </c:pt>
                <c:pt idx="7" formatCode="0.0%">
                  <c:v>0.47816128694606924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59A-4E7D-B42C-D4D4F8E7D533}"/>
            </c:ext>
          </c:extLst>
        </c:ser>
        <c:ser>
          <c:idx val="5"/>
          <c:order val="5"/>
          <c:tx>
            <c:strRef>
              <c:f>'5 Public Non-Charter Minority'!$I$10</c:f>
              <c:strCache>
                <c:ptCount val="1"/>
                <c:pt idx="0">
                  <c:v>Out-of-state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59A-4E7D-B42C-D4D4F8E7D53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 Public Non-Charter Minority'!$A$11:$A$18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'5 Public Non-Charter Minority'!$I$5:$I$12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6.5829147804249408E-2</c:v>
                </c:pt>
                <c:pt idx="7" formatCode="0.0%">
                  <c:v>6.7158811963205028E-2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59A-4E7D-B42C-D4D4F8E7D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00272368"/>
        <c:axId val="500269624"/>
      </c:barChart>
      <c:catAx>
        <c:axId val="500272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500269624"/>
        <c:crosses val="autoZero"/>
        <c:auto val="1"/>
        <c:lblAlgn val="ctr"/>
        <c:lblOffset val="100"/>
        <c:noMultiLvlLbl val="0"/>
      </c:catAx>
      <c:valAx>
        <c:axId val="50026962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crossAx val="50027236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10395387323573"/>
          <c:y val="3.9007529729678886E-2"/>
          <c:w val="0.86844490824189147"/>
          <c:h val="0.8024169386550283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'5 Public Non-Charter Minority'!$Q$10</c:f>
              <c:strCache>
                <c:ptCount val="1"/>
                <c:pt idx="0">
                  <c:v>Public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 Public Non-Charter Minority'!$A$11:$A$18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'5 Public Non-Charter Minority'!$Q$11:$Q$12</c:f>
              <c:numCache>
                <c:formatCode>0.0%</c:formatCode>
                <c:ptCount val="2"/>
                <c:pt idx="0">
                  <c:v>0.50590020201822883</c:v>
                </c:pt>
                <c:pt idx="1">
                  <c:v>0.50894092877037445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C7-4A76-98F2-B94C60424ACB}"/>
            </c:ext>
          </c:extLst>
        </c:ser>
        <c:ser>
          <c:idx val="3"/>
          <c:order val="1"/>
          <c:tx>
            <c:strRef>
              <c:f>'5 Public Non-Charter Minority'!$E$10</c:f>
              <c:strCache>
                <c:ptCount val="1"/>
                <c:pt idx="0">
                  <c:v>Private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 Public Non-Charter Minority'!$A$11:$A$18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'5 Public Non-Charter Minority'!$R$11:$R$12</c:f>
              <c:numCache>
                <c:formatCode>0.0%</c:formatCode>
                <c:ptCount val="2"/>
                <c:pt idx="0">
                  <c:v>0.131254059492008</c:v>
                </c:pt>
                <c:pt idx="1">
                  <c:v>0.13369800072595545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C7-4A76-98F2-B94C60424ACB}"/>
            </c:ext>
          </c:extLst>
        </c:ser>
        <c:ser>
          <c:idx val="0"/>
          <c:order val="2"/>
          <c:tx>
            <c:strRef>
              <c:f>'5 Public Non-Charter Minority'!$F$10</c:f>
              <c:strCache>
                <c:ptCount val="1"/>
                <c:pt idx="0">
                  <c:v>Two-year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C7-4A76-98F2-B94C60424AC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 Public Non-Charter Minority'!$A$11:$A$18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'5 Public Non-Charter Minority'!$S$8:$S$12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0.1751405255729683</c:v>
                </c:pt>
                <c:pt idx="4" formatCode="0.0%">
                  <c:v>0.16890321891539362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C7-4A76-98F2-B94C60424ACB}"/>
            </c:ext>
          </c:extLst>
        </c:ser>
        <c:ser>
          <c:idx val="1"/>
          <c:order val="3"/>
          <c:tx>
            <c:strRef>
              <c:f>'5 Public Non-Charter Minority'!$G$10</c:f>
              <c:strCache>
                <c:ptCount val="1"/>
                <c:pt idx="0">
                  <c:v>Four-year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C7-4A76-98F2-B94C60424AC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 Public Non-Charter Minority'!$A$11:$A$18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'5 Public Non-Charter Minority'!$T$8:$T$12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0.46201373593726852</c:v>
                </c:pt>
                <c:pt idx="4" formatCode="0.0%">
                  <c:v>0.47373571058093633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4C7-4A76-98F2-B94C60424ACB}"/>
            </c:ext>
          </c:extLst>
        </c:ser>
        <c:ser>
          <c:idx val="4"/>
          <c:order val="4"/>
          <c:tx>
            <c:strRef>
              <c:f>'5 Public Non-Charter Minority'!$H$10</c:f>
              <c:strCache>
                <c:ptCount val="1"/>
                <c:pt idx="0">
                  <c:v>In-state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4C7-4A76-98F2-B94C60424AC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 Public Non-Charter Minority'!$A$11:$A$18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'5 Public Non-Charter Minority'!$U$5:$U$12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0.47878076057177182</c:v>
                </c:pt>
                <c:pt idx="7" formatCode="0.0%">
                  <c:v>0.48530030749010411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4C7-4A76-98F2-B94C60424ACB}"/>
            </c:ext>
          </c:extLst>
        </c:ser>
        <c:ser>
          <c:idx val="5"/>
          <c:order val="5"/>
          <c:tx>
            <c:strRef>
              <c:f>'5 Public Non-Charter Minority'!$I$10</c:f>
              <c:strCache>
                <c:ptCount val="1"/>
                <c:pt idx="0">
                  <c:v>Out-of-state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4C7-4A76-98F2-B94C60424AC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 Public Non-Charter Minority'!$A$11:$A$18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'5 Public Non-Charter Minority'!$V$5:$V$12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0.15837350093846503</c:v>
                </c:pt>
                <c:pt idx="7" formatCode="0.0%">
                  <c:v>0.15733862200622584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4C7-4A76-98F2-B94C60424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00272368"/>
        <c:axId val="500269624"/>
      </c:barChart>
      <c:catAx>
        <c:axId val="500272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500269624"/>
        <c:crosses val="autoZero"/>
        <c:auto val="1"/>
        <c:lblAlgn val="ctr"/>
        <c:lblOffset val="100"/>
        <c:noMultiLvlLbl val="0"/>
      </c:catAx>
      <c:valAx>
        <c:axId val="50026962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crossAx val="50027236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10395387323573"/>
          <c:y val="3.9007529729678886E-2"/>
          <c:w val="0.86844490824189147"/>
          <c:h val="0.8024169386550283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'5 Public Non-Charter Minority'!$D$10</c:f>
              <c:strCache>
                <c:ptCount val="1"/>
                <c:pt idx="0">
                  <c:v>Public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 Public Non-Charter Minority'!$A$40:$A$47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'5 Public Non-Charter Minority'!$D$40:$D$41</c:f>
              <c:numCache>
                <c:formatCode>0.0%</c:formatCode>
                <c:ptCount val="2"/>
                <c:pt idx="0">
                  <c:v>0.48255882675983408</c:v>
                </c:pt>
                <c:pt idx="1">
                  <c:v>0.50726237484717307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8C-436D-8EA9-D4A892DCF675}"/>
            </c:ext>
          </c:extLst>
        </c:ser>
        <c:ser>
          <c:idx val="3"/>
          <c:order val="1"/>
          <c:tx>
            <c:strRef>
              <c:f>'5 Public Non-Charter Minority'!$E$10</c:f>
              <c:strCache>
                <c:ptCount val="1"/>
                <c:pt idx="0">
                  <c:v>Private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8C-436D-8EA9-D4A892DCF675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8C-436D-8EA9-D4A892DCF67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 Public Non-Charter Minority'!$A$40:$A$47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'5 Public Non-Charter Minority'!$E$40:$E$41</c:f>
              <c:numCache>
                <c:formatCode>0.0%</c:formatCode>
                <c:ptCount val="2"/>
                <c:pt idx="0">
                  <c:v>7.6541995951819333E-2</c:v>
                </c:pt>
                <c:pt idx="1">
                  <c:v>7.3241251693487094E-2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8C-436D-8EA9-D4A892DCF675}"/>
            </c:ext>
          </c:extLst>
        </c:ser>
        <c:ser>
          <c:idx val="0"/>
          <c:order val="2"/>
          <c:tx>
            <c:strRef>
              <c:f>'5 Public Non-Charter Minority'!$F$10</c:f>
              <c:strCache>
                <c:ptCount val="1"/>
                <c:pt idx="0">
                  <c:v>Two-year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8C-436D-8EA9-D4A892DCF67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 Public Non-Charter Minority'!$A$40:$A$47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'5 Public Non-Charter Minority'!$F$37:$F$41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0.23318985130519831</c:v>
                </c:pt>
                <c:pt idx="4" formatCode="0.0%">
                  <c:v>0.25070837326107787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8C-436D-8EA9-D4A892DCF675}"/>
            </c:ext>
          </c:extLst>
        </c:ser>
        <c:ser>
          <c:idx val="1"/>
          <c:order val="3"/>
          <c:tx>
            <c:strRef>
              <c:f>'5 Public Non-Charter Minority'!$G$10</c:f>
              <c:strCache>
                <c:ptCount val="1"/>
                <c:pt idx="0">
                  <c:v>Four-year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D8C-436D-8EA9-D4A892DCF67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 Public Non-Charter Minority'!$A$40:$A$47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'5 Public Non-Charter Minority'!$G$37:$G$41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0.3258691297457596</c:v>
                </c:pt>
                <c:pt idx="4" formatCode="0.0%">
                  <c:v>0.32979525327958231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8C-436D-8EA9-D4A892DCF675}"/>
            </c:ext>
          </c:extLst>
        </c:ser>
        <c:ser>
          <c:idx val="4"/>
          <c:order val="4"/>
          <c:tx>
            <c:strRef>
              <c:f>'5 Public Non-Charter Minority'!$H$10</c:f>
              <c:strCache>
                <c:ptCount val="1"/>
                <c:pt idx="0">
                  <c:v>In-state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D8C-436D-8EA9-D4A892DCF67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 Public Non-Charter Minority'!$A$40:$A$47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'5 Public Non-Charter Minority'!$H$34:$H$41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0.48636537184160838</c:v>
                </c:pt>
                <c:pt idx="7" formatCode="0.0%">
                  <c:v>0.50942983180781809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D8C-436D-8EA9-D4A892DCF675}"/>
            </c:ext>
          </c:extLst>
        </c:ser>
        <c:ser>
          <c:idx val="5"/>
          <c:order val="5"/>
          <c:tx>
            <c:strRef>
              <c:f>'5 Public Non-Charter Minority'!$I$10</c:f>
              <c:strCache>
                <c:ptCount val="1"/>
                <c:pt idx="0">
                  <c:v>Out-of-state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D8C-436D-8EA9-D4A892DCF67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 Public Non-Charter Minority'!$A$40:$A$47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'5 Public Non-Charter Minority'!$I$34:$I$41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7.2735450870045029E-2</c:v>
                </c:pt>
                <c:pt idx="7" formatCode="0.0%">
                  <c:v>7.1073794732842088E-2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D8C-436D-8EA9-D4A892DCF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00272368"/>
        <c:axId val="500269624"/>
      </c:barChart>
      <c:catAx>
        <c:axId val="500272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500269624"/>
        <c:crosses val="autoZero"/>
        <c:auto val="1"/>
        <c:lblAlgn val="ctr"/>
        <c:lblOffset val="100"/>
        <c:noMultiLvlLbl val="0"/>
      </c:catAx>
      <c:valAx>
        <c:axId val="50026962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crossAx val="50027236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10395387323573"/>
          <c:y val="3.9007529729678886E-2"/>
          <c:w val="0.86844490824189147"/>
          <c:h val="0.8024169386550283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'5 Public Non-Charter Minority'!$D$10</c:f>
              <c:strCache>
                <c:ptCount val="1"/>
                <c:pt idx="0">
                  <c:v>Public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 Public Non-Charter Minority'!$A$40:$A$47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'5 Public Non-Charter Minority'!$Q$40:$Q$41</c:f>
              <c:numCache>
                <c:formatCode>0.0%</c:formatCode>
                <c:ptCount val="2"/>
                <c:pt idx="0">
                  <c:v>0.52079263098647011</c:v>
                </c:pt>
                <c:pt idx="1">
                  <c:v>0.52992995290582301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31-427A-887E-B904509F1F86}"/>
            </c:ext>
          </c:extLst>
        </c:ser>
        <c:ser>
          <c:idx val="3"/>
          <c:order val="1"/>
          <c:tx>
            <c:strRef>
              <c:f>'5 Public Non-Charter Minority'!$E$10</c:f>
              <c:strCache>
                <c:ptCount val="1"/>
                <c:pt idx="0">
                  <c:v>Private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 Public Non-Charter Minority'!$A$40:$A$47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'5 Public Non-Charter Minority'!$R$40:$R$41</c:f>
              <c:numCache>
                <c:formatCode>0.0%</c:formatCode>
                <c:ptCount val="2"/>
                <c:pt idx="0">
                  <c:v>0.13782843370356757</c:v>
                </c:pt>
                <c:pt idx="1">
                  <c:v>0.13613603103364638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31-427A-887E-B904509F1F86}"/>
            </c:ext>
          </c:extLst>
        </c:ser>
        <c:ser>
          <c:idx val="0"/>
          <c:order val="2"/>
          <c:tx>
            <c:strRef>
              <c:f>'5 Public Non-Charter Minority'!$F$10</c:f>
              <c:strCache>
                <c:ptCount val="1"/>
                <c:pt idx="0">
                  <c:v>Two-year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31-427A-887E-B904509F1F8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 Public Non-Charter Minority'!$A$40:$A$47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'5 Public Non-Charter Minority'!$S$37:$S$41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0.18940533623148598</c:v>
                </c:pt>
                <c:pt idx="4" formatCode="0.0%">
                  <c:v>0.18954307416071275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31-427A-887E-B904509F1F86}"/>
            </c:ext>
          </c:extLst>
        </c:ser>
        <c:ser>
          <c:idx val="1"/>
          <c:order val="3"/>
          <c:tx>
            <c:strRef>
              <c:f>'5 Public Non-Charter Minority'!$G$10</c:f>
              <c:strCache>
                <c:ptCount val="1"/>
                <c:pt idx="0">
                  <c:v>Four-year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31-427A-887E-B904509F1F8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 Public Non-Charter Minority'!$A$40:$A$47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'5 Public Non-Charter Minority'!$T$37:$T$41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0.46921255298086062</c:v>
                </c:pt>
                <c:pt idx="4" formatCode="0.0%">
                  <c:v>0.47652290977875666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731-427A-887E-B904509F1F86}"/>
            </c:ext>
          </c:extLst>
        </c:ser>
        <c:ser>
          <c:idx val="4"/>
          <c:order val="4"/>
          <c:tx>
            <c:strRef>
              <c:f>'5 Public Non-Charter Minority'!$H$10</c:f>
              <c:strCache>
                <c:ptCount val="1"/>
                <c:pt idx="0">
                  <c:v>In-state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31-427A-887E-B904509F1F8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 Public Non-Charter Minority'!$A$40:$A$47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'5 Public Non-Charter Minority'!$U$34:$U$41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0.49668837370291657</c:v>
                </c:pt>
                <c:pt idx="7" formatCode="0.0%">
                  <c:v>0.50194367256442685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731-427A-887E-B904509F1F86}"/>
            </c:ext>
          </c:extLst>
        </c:ser>
        <c:ser>
          <c:idx val="5"/>
          <c:order val="5"/>
          <c:tx>
            <c:strRef>
              <c:f>'5 Public Non-Charter Minority'!$I$10</c:f>
              <c:strCache>
                <c:ptCount val="1"/>
                <c:pt idx="0">
                  <c:v>Out-of-state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31-427A-887E-B904509F1F8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 Public Non-Charter Minority'!$A$40:$A$47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'5 Public Non-Charter Minority'!$V$34:$V$41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0.16193269098712107</c:v>
                </c:pt>
                <c:pt idx="7" formatCode="0.0%">
                  <c:v>0.16412231137504252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731-427A-887E-B904509F1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00272368"/>
        <c:axId val="500269624"/>
      </c:barChart>
      <c:catAx>
        <c:axId val="500272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500269624"/>
        <c:crosses val="autoZero"/>
        <c:auto val="1"/>
        <c:lblAlgn val="ctr"/>
        <c:lblOffset val="100"/>
        <c:noMultiLvlLbl val="0"/>
      </c:catAx>
      <c:valAx>
        <c:axId val="50026962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crossAx val="50027236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10395387323573"/>
          <c:y val="3.9007529729678886E-2"/>
          <c:w val="0.86844490824189147"/>
          <c:h val="0.8024169386550283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'5 Public Non-Charter Minority'!$D$10</c:f>
              <c:strCache>
                <c:ptCount val="1"/>
                <c:pt idx="0">
                  <c:v>Public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 Public Non-Charter Minority'!$A$70:$A$77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'5 Public Non-Charter Minority'!$D$70:$D$71</c:f>
              <c:numCache>
                <c:formatCode>0.0%</c:formatCode>
                <c:ptCount val="2"/>
                <c:pt idx="0">
                  <c:v>0.5227407131648325</c:v>
                </c:pt>
                <c:pt idx="1">
                  <c:v>0.52256468459233152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54-4400-8CB2-855E1F6B4F8B}"/>
            </c:ext>
          </c:extLst>
        </c:ser>
        <c:ser>
          <c:idx val="3"/>
          <c:order val="1"/>
          <c:tx>
            <c:strRef>
              <c:f>'5 Public Non-Charter Minority'!$E$10</c:f>
              <c:strCache>
                <c:ptCount val="1"/>
                <c:pt idx="0">
                  <c:v>Private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 Public Non-Charter Minority'!$A$70:$A$77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'5 Public Non-Charter Minority'!$E$70:$E$71</c:f>
              <c:numCache>
                <c:formatCode>0.0%</c:formatCode>
                <c:ptCount val="2"/>
                <c:pt idx="0">
                  <c:v>7.9601879023889488E-2</c:v>
                </c:pt>
                <c:pt idx="1">
                  <c:v>8.1859024984701642E-2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54-4400-8CB2-855E1F6B4F8B}"/>
            </c:ext>
          </c:extLst>
        </c:ser>
        <c:ser>
          <c:idx val="0"/>
          <c:order val="2"/>
          <c:tx>
            <c:strRef>
              <c:f>'5 Public Non-Charter Minority'!$F$10</c:f>
              <c:strCache>
                <c:ptCount val="1"/>
                <c:pt idx="0">
                  <c:v>Two-year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54-4400-8CB2-855E1F6B4F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 Public Non-Charter Minority'!$A$70:$A$77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'5 Public Non-Charter Minority'!$F$67:$F$71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0.27569735583482363</c:v>
                </c:pt>
                <c:pt idx="4" formatCode="0.0%">
                  <c:v>0.26489746178025808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54-4400-8CB2-855E1F6B4F8B}"/>
            </c:ext>
          </c:extLst>
        </c:ser>
        <c:ser>
          <c:idx val="1"/>
          <c:order val="3"/>
          <c:tx>
            <c:strRef>
              <c:f>'5 Public Non-Charter Minority'!$G$10</c:f>
              <c:strCache>
                <c:ptCount val="1"/>
                <c:pt idx="0">
                  <c:v>Four-year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54-4400-8CB2-855E1F6B4F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 Public Non-Charter Minority'!$A$70:$A$77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'5 Public Non-Charter Minority'!$G$67:$G$71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0.32657524464132293</c:v>
                </c:pt>
                <c:pt idx="4" formatCode="0.0%">
                  <c:v>0.3394697615548361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F54-4400-8CB2-855E1F6B4F8B}"/>
            </c:ext>
          </c:extLst>
        </c:ser>
        <c:ser>
          <c:idx val="4"/>
          <c:order val="4"/>
          <c:tx>
            <c:strRef>
              <c:f>'5 Public Non-Charter Minority'!$H$10</c:f>
              <c:strCache>
                <c:ptCount val="1"/>
                <c:pt idx="0">
                  <c:v>In-state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54-4400-8CB2-855E1F6B4F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 Public Non-Charter Minority'!$A$70:$A$77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'5 Public Non-Charter Minority'!$H$64:$H$71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0.52890809885264312</c:v>
                </c:pt>
                <c:pt idx="7" formatCode="0.0%">
                  <c:v>0.52424881143532587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F54-4400-8CB2-855E1F6B4F8B}"/>
            </c:ext>
          </c:extLst>
        </c:ser>
        <c:ser>
          <c:idx val="5"/>
          <c:order val="5"/>
          <c:tx>
            <c:strRef>
              <c:f>'5 Public Non-Charter Minority'!$I$10</c:f>
              <c:strCache>
                <c:ptCount val="1"/>
                <c:pt idx="0">
                  <c:v>Out-of-state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54-4400-8CB2-855E1F6B4F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 Public Non-Charter Minority'!$A$70:$A$77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'5 Public Non-Charter Minority'!$I$64:$I$71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7.3434493336078904E-2</c:v>
                </c:pt>
                <c:pt idx="7" formatCode="0.0%">
                  <c:v>8.0174898141707238E-2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F54-4400-8CB2-855E1F6B4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00272368"/>
        <c:axId val="500269624"/>
      </c:barChart>
      <c:catAx>
        <c:axId val="500272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500269624"/>
        <c:crosses val="autoZero"/>
        <c:auto val="1"/>
        <c:lblAlgn val="ctr"/>
        <c:lblOffset val="100"/>
        <c:noMultiLvlLbl val="0"/>
      </c:catAx>
      <c:valAx>
        <c:axId val="50026962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crossAx val="50027236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10395387323573"/>
          <c:y val="3.9007529729678886E-2"/>
          <c:w val="0.86844490824189147"/>
          <c:h val="0.8024169386550283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'5 Public Non-Charter Minority'!$D$10</c:f>
              <c:strCache>
                <c:ptCount val="1"/>
                <c:pt idx="0">
                  <c:v>Public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 Public Non-Charter Minority'!$A$70:$A$77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'5 Public Non-Charter Minority'!$Q$70:$Q$71</c:f>
              <c:numCache>
                <c:formatCode>0.0%</c:formatCode>
                <c:ptCount val="2"/>
                <c:pt idx="0">
                  <c:v>0.5576798310825809</c:v>
                </c:pt>
                <c:pt idx="1">
                  <c:v>0.55227669842408977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9-41E6-9F1B-11EA13A8F3A8}"/>
            </c:ext>
          </c:extLst>
        </c:ser>
        <c:ser>
          <c:idx val="3"/>
          <c:order val="1"/>
          <c:tx>
            <c:strRef>
              <c:f>'5 Public Non-Charter Minority'!$E$10</c:f>
              <c:strCache>
                <c:ptCount val="1"/>
                <c:pt idx="0">
                  <c:v>Private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 Public Non-Charter Minority'!$A$70:$A$77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'5 Public Non-Charter Minority'!$R$70:$R$71</c:f>
              <c:numCache>
                <c:formatCode>0.0%</c:formatCode>
                <c:ptCount val="2"/>
                <c:pt idx="0">
                  <c:v>0.14171912883847468</c:v>
                </c:pt>
                <c:pt idx="1">
                  <c:v>0.14295047921927706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E9-41E6-9F1B-11EA13A8F3A8}"/>
            </c:ext>
          </c:extLst>
        </c:ser>
        <c:ser>
          <c:idx val="0"/>
          <c:order val="2"/>
          <c:tx>
            <c:strRef>
              <c:f>'5 Public Non-Charter Minority'!$F$10</c:f>
              <c:strCache>
                <c:ptCount val="1"/>
                <c:pt idx="0">
                  <c:v>Two-year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E9-41E6-9F1B-11EA13A8F3A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 Public Non-Charter Minority'!$A$70:$A$77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'5 Public Non-Charter Minority'!$S$67:$S$71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0.22210755790180389</c:v>
                </c:pt>
                <c:pt idx="4" formatCode="0.0%">
                  <c:v>0.21166146549883183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E9-41E6-9F1B-11EA13A8F3A8}"/>
            </c:ext>
          </c:extLst>
        </c:ser>
        <c:ser>
          <c:idx val="1"/>
          <c:order val="3"/>
          <c:tx>
            <c:strRef>
              <c:f>'5 Public Non-Charter Minority'!$G$10</c:f>
              <c:strCache>
                <c:ptCount val="1"/>
                <c:pt idx="0">
                  <c:v>Four-year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0E9-41E6-9F1B-11EA13A8F3A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 Public Non-Charter Minority'!$A$70:$A$77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'5 Public Non-Charter Minority'!$T$67:$T$71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0.4772836134993742</c:v>
                </c:pt>
                <c:pt idx="4" formatCode="0.0%">
                  <c:v>0.48356253666684396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0E9-41E6-9F1B-11EA13A8F3A8}"/>
            </c:ext>
          </c:extLst>
        </c:ser>
        <c:ser>
          <c:idx val="4"/>
          <c:order val="4"/>
          <c:tx>
            <c:strRef>
              <c:f>'5 Public Non-Charter Minority'!$H$10</c:f>
              <c:strCache>
                <c:ptCount val="1"/>
                <c:pt idx="0">
                  <c:v>In-state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0E9-41E6-9F1B-11EA13A8F3A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 Public Non-Charter Minority'!$A$70:$A$77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'5 Public Non-Charter Minority'!$U$64:$U$71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0.54352497505726505</c:v>
                </c:pt>
                <c:pt idx="7" formatCode="0.0%">
                  <c:v>0.52511842547114163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0E9-41E6-9F1B-11EA13A8F3A8}"/>
            </c:ext>
          </c:extLst>
        </c:ser>
        <c:ser>
          <c:idx val="5"/>
          <c:order val="5"/>
          <c:tx>
            <c:strRef>
              <c:f>'5 Public Non-Charter Minority'!$I$10</c:f>
              <c:strCache>
                <c:ptCount val="1"/>
                <c:pt idx="0">
                  <c:v>Out-of-state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0E9-41E6-9F1B-11EA13A8F3A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 Public Non-Charter Minority'!$A$70:$A$77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'5 Public Non-Charter Minority'!$V$64:$V$71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0.15587398486379048</c:v>
                </c:pt>
                <c:pt idx="7" formatCode="0.0%">
                  <c:v>0.17010875217222521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E9-41E6-9F1B-11EA13A8F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00272368"/>
        <c:axId val="500269624"/>
      </c:barChart>
      <c:catAx>
        <c:axId val="500272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500269624"/>
        <c:crosses val="autoZero"/>
        <c:auto val="1"/>
        <c:lblAlgn val="ctr"/>
        <c:lblOffset val="100"/>
        <c:noMultiLvlLbl val="0"/>
      </c:catAx>
      <c:valAx>
        <c:axId val="50026962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crossAx val="50027236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 Public Non-Charter Minority'!$A$100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 Public Non-Charter Minority'!$C$99:$I$99</c:f>
              <c:strCache>
                <c:ptCount val="7"/>
                <c:pt idx="0">
                  <c:v>Total</c:v>
                </c:pt>
                <c:pt idx="1">
                  <c:v>Public</c:v>
                </c:pt>
                <c:pt idx="2">
                  <c:v>Private</c:v>
                </c:pt>
                <c:pt idx="3">
                  <c:v>Two-year</c:v>
                </c:pt>
                <c:pt idx="4">
                  <c:v>Four-year</c:v>
                </c:pt>
                <c:pt idx="5">
                  <c:v>In-state</c:v>
                </c:pt>
                <c:pt idx="6">
                  <c:v>Out-of-state</c:v>
                </c:pt>
              </c:strCache>
            </c:strRef>
          </c:cat>
          <c:val>
            <c:numRef>
              <c:f>'5 Public Non-Charter Minority'!$C$100:$I$100</c:f>
              <c:numCache>
                <c:formatCode>0.0%</c:formatCode>
                <c:ptCount val="7"/>
                <c:pt idx="0">
                  <c:v>0.77430696367533747</c:v>
                </c:pt>
                <c:pt idx="1">
                  <c:v>0.76765744586315443</c:v>
                </c:pt>
                <c:pt idx="2">
                  <c:v>0.81799492907558413</c:v>
                </c:pt>
                <c:pt idx="3">
                  <c:v>0.67436347022942233</c:v>
                </c:pt>
                <c:pt idx="4">
                  <c:v>0.85284059320171191</c:v>
                </c:pt>
                <c:pt idx="5">
                  <c:v>0.76731310468847191</c:v>
                </c:pt>
                <c:pt idx="6">
                  <c:v>0.82654359792091503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2-40F2-B73E-8DDBE383EFCE}"/>
            </c:ext>
          </c:extLst>
        </c:ser>
        <c:ser>
          <c:idx val="1"/>
          <c:order val="1"/>
          <c:tx>
            <c:strRef>
              <c:f>'5 Public Non-Charter Minority'!$A$101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 Public Non-Charter Minority'!$C$99:$I$99</c:f>
              <c:strCache>
                <c:ptCount val="7"/>
                <c:pt idx="0">
                  <c:v>Total</c:v>
                </c:pt>
                <c:pt idx="1">
                  <c:v>Public</c:v>
                </c:pt>
                <c:pt idx="2">
                  <c:v>Private</c:v>
                </c:pt>
                <c:pt idx="3">
                  <c:v>Two-year</c:v>
                </c:pt>
                <c:pt idx="4">
                  <c:v>Four-year</c:v>
                </c:pt>
                <c:pt idx="5">
                  <c:v>In-state</c:v>
                </c:pt>
                <c:pt idx="6">
                  <c:v>Out-of-state</c:v>
                </c:pt>
              </c:strCache>
            </c:strRef>
          </c:cat>
          <c:val>
            <c:numRef>
              <c:f>'5 Public Non-Charter Minority'!$C$101:$I$101</c:f>
              <c:numCache>
                <c:formatCode>0.0%</c:formatCode>
                <c:ptCount val="7"/>
                <c:pt idx="0">
                  <c:v>0.80309901738473166</c:v>
                </c:pt>
                <c:pt idx="1">
                  <c:v>0.79633832554046113</c:v>
                </c:pt>
                <c:pt idx="2">
                  <c:v>0.84572178262473863</c:v>
                </c:pt>
                <c:pt idx="3">
                  <c:v>0.71112835649498041</c:v>
                </c:pt>
                <c:pt idx="4">
                  <c:v>0.8690093282743655</c:v>
                </c:pt>
                <c:pt idx="5">
                  <c:v>0.79600523057996642</c:v>
                </c:pt>
                <c:pt idx="6">
                  <c:v>0.85053355193142921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A2-40F2-B73E-8DDBE383E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-27"/>
        <c:axId val="450104607"/>
        <c:axId val="450102207"/>
      </c:barChart>
      <c:catAx>
        <c:axId val="450104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102207"/>
        <c:crosses val="autoZero"/>
        <c:auto val="1"/>
        <c:lblAlgn val="ctr"/>
        <c:lblOffset val="100"/>
        <c:noMultiLvlLbl val="0"/>
      </c:catAx>
      <c:valAx>
        <c:axId val="450102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104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 Public Non-Charter Minority'!$A$100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 Public Non-Charter Minority'!$P$99:$V$99</c:f>
              <c:strCache>
                <c:ptCount val="7"/>
                <c:pt idx="0">
                  <c:v>Total</c:v>
                </c:pt>
                <c:pt idx="1">
                  <c:v>Public</c:v>
                </c:pt>
                <c:pt idx="2">
                  <c:v>Private</c:v>
                </c:pt>
                <c:pt idx="3">
                  <c:v>Two-year</c:v>
                </c:pt>
                <c:pt idx="4">
                  <c:v>Four-year</c:v>
                </c:pt>
                <c:pt idx="5">
                  <c:v>In-state</c:v>
                </c:pt>
                <c:pt idx="6">
                  <c:v>Out-of-state</c:v>
                </c:pt>
              </c:strCache>
            </c:strRef>
          </c:cat>
          <c:val>
            <c:numRef>
              <c:f>'5 Public Non-Charter Minority'!$P$100:$V$100</c:f>
              <c:numCache>
                <c:formatCode>0.0%</c:formatCode>
                <c:ptCount val="7"/>
                <c:pt idx="0">
                  <c:v>0.85178039784495763</c:v>
                </c:pt>
                <c:pt idx="1">
                  <c:v>0.83593427218962846</c:v>
                </c:pt>
                <c:pt idx="2">
                  <c:v>0.91334407264513839</c:v>
                </c:pt>
                <c:pt idx="3">
                  <c:v>0.71529318113315454</c:v>
                </c:pt>
                <c:pt idx="4">
                  <c:v>0.91131893263852259</c:v>
                </c:pt>
                <c:pt idx="5">
                  <c:v>0.83401482392816007</c:v>
                </c:pt>
                <c:pt idx="6">
                  <c:v>0.91416122696398416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EA-40F3-A3BA-AA424EC5A519}"/>
            </c:ext>
          </c:extLst>
        </c:ser>
        <c:ser>
          <c:idx val="1"/>
          <c:order val="1"/>
          <c:tx>
            <c:strRef>
              <c:f>'5 Public Non-Charter Minority'!$A$101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 Public Non-Charter Minority'!$P$99:$V$99</c:f>
              <c:strCache>
                <c:ptCount val="7"/>
                <c:pt idx="0">
                  <c:v>Total</c:v>
                </c:pt>
                <c:pt idx="1">
                  <c:v>Public</c:v>
                </c:pt>
                <c:pt idx="2">
                  <c:v>Private</c:v>
                </c:pt>
                <c:pt idx="3">
                  <c:v>Two-year</c:v>
                </c:pt>
                <c:pt idx="4">
                  <c:v>Four-year</c:v>
                </c:pt>
                <c:pt idx="5">
                  <c:v>In-state</c:v>
                </c:pt>
                <c:pt idx="6">
                  <c:v>Out-of-state</c:v>
                </c:pt>
              </c:strCache>
            </c:strRef>
          </c:cat>
          <c:val>
            <c:numRef>
              <c:f>'5 Public Non-Charter Minority'!$P$101:$V$101</c:f>
              <c:numCache>
                <c:formatCode>0.0%</c:formatCode>
                <c:ptCount val="7"/>
                <c:pt idx="0">
                  <c:v>0.86917725165554927</c:v>
                </c:pt>
                <c:pt idx="1">
                  <c:v>0.85468691407857711</c:v>
                </c:pt>
                <c:pt idx="2">
                  <c:v>0.92392982213620867</c:v>
                </c:pt>
                <c:pt idx="3">
                  <c:v>0.73906574176918083</c:v>
                </c:pt>
                <c:pt idx="4">
                  <c:v>0.92170477713202892</c:v>
                </c:pt>
                <c:pt idx="5">
                  <c:v>0.85120074162277937</c:v>
                </c:pt>
                <c:pt idx="6">
                  <c:v>0.92431573838483372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EA-40F3-A3BA-AA424EC5A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-27"/>
        <c:axId val="450104607"/>
        <c:axId val="450102207"/>
      </c:barChart>
      <c:catAx>
        <c:axId val="450104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102207"/>
        <c:crosses val="autoZero"/>
        <c:auto val="1"/>
        <c:lblAlgn val="ctr"/>
        <c:lblOffset val="100"/>
        <c:noMultiLvlLbl val="0"/>
      </c:catAx>
      <c:valAx>
        <c:axId val="450102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104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10395387323573"/>
          <c:y val="3.9007529729678886E-2"/>
          <c:w val="0.86844490824189147"/>
          <c:h val="0.8024169386550283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'5 Public Non-Charter Minority'!$D$10</c:f>
              <c:strCache>
                <c:ptCount val="1"/>
                <c:pt idx="0">
                  <c:v>Public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 Public Non-Charter Minority'!$A$130:$A$137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'5 Public Non-Charter Minority'!$D$130:$D$131</c:f>
              <c:numCache>
                <c:formatCode>0.0%</c:formatCode>
                <c:ptCount val="2"/>
                <c:pt idx="0">
                  <c:v>0.26267515472316827</c:v>
                </c:pt>
                <c:pt idx="1">
                  <c:v>0.26156648316130482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C7-434C-B71D-EC4615A4AE11}"/>
            </c:ext>
          </c:extLst>
        </c:ser>
        <c:ser>
          <c:idx val="3"/>
          <c:order val="1"/>
          <c:tx>
            <c:strRef>
              <c:f>'5 Public Non-Charter Minority'!$E$10</c:f>
              <c:strCache>
                <c:ptCount val="1"/>
                <c:pt idx="0">
                  <c:v>Private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 Public Non-Charter Minority'!$A$130:$A$137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'5 Public Non-Charter Minority'!$E$130:$E$131</c:f>
              <c:numCache>
                <c:formatCode>0.0%</c:formatCode>
                <c:ptCount val="2"/>
                <c:pt idx="0">
                  <c:v>5.3017038525183316E-2</c:v>
                </c:pt>
                <c:pt idx="1">
                  <c:v>5.3880350533704068E-2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C7-434C-B71D-EC4615A4AE11}"/>
            </c:ext>
          </c:extLst>
        </c:ser>
        <c:ser>
          <c:idx val="0"/>
          <c:order val="2"/>
          <c:tx>
            <c:strRef>
              <c:f>'5 Public Non-Charter Minority'!$F$10</c:f>
              <c:strCache>
                <c:ptCount val="1"/>
                <c:pt idx="0">
                  <c:v>Two-year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C7-434C-B71D-EC4615A4AE1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 Public Non-Charter Minority'!$A$130:$A$137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'5 Public Non-Charter Minority'!$F$127:$F$131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9.2311409789940846E-2</c:v>
                </c:pt>
                <c:pt idx="4" formatCode="0.0%">
                  <c:v>9.2217958214377435E-2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C7-434C-B71D-EC4615A4AE11}"/>
            </c:ext>
          </c:extLst>
        </c:ser>
        <c:ser>
          <c:idx val="1"/>
          <c:order val="3"/>
          <c:tx>
            <c:strRef>
              <c:f>'5 Public Non-Charter Minority'!$G$10</c:f>
              <c:strCache>
                <c:ptCount val="1"/>
                <c:pt idx="0">
                  <c:v>Four-year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C7-434C-B71D-EC4615A4AE1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 Public Non-Charter Minority'!$A$130:$A$137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'5 Public Non-Charter Minority'!$G$127:$G$131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0.22315432845337557</c:v>
                </c:pt>
                <c:pt idx="4" formatCode="0.0%">
                  <c:v>0.22300802386190074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C7-434C-B71D-EC4615A4AE11}"/>
            </c:ext>
          </c:extLst>
        </c:ser>
        <c:ser>
          <c:idx val="4"/>
          <c:order val="4"/>
          <c:tx>
            <c:strRef>
              <c:f>'5 Public Non-Charter Minority'!$H$10</c:f>
              <c:strCache>
                <c:ptCount val="1"/>
                <c:pt idx="0">
                  <c:v>In-state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C7-434C-B71D-EC4615A4AE1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 Public Non-Charter Minority'!$A$130:$A$137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'5 Public Non-Charter Minority'!$H$124:$H$131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0.27053023364083983</c:v>
                </c:pt>
                <c:pt idx="7" formatCode="0.0%">
                  <c:v>0.27038441829792881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C7-434C-B71D-EC4615A4AE11}"/>
            </c:ext>
          </c:extLst>
        </c:ser>
        <c:ser>
          <c:idx val="5"/>
          <c:order val="5"/>
          <c:tx>
            <c:strRef>
              <c:f>'5 Public Non-Charter Minority'!$I$10</c:f>
              <c:strCache>
                <c:ptCount val="1"/>
                <c:pt idx="0">
                  <c:v>Out-of-state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EC7-434C-B71D-EC4615A4AE1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 Public Non-Charter Minority'!$A$130:$A$137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'5 Public Non-Charter Minority'!$I$124:$I$131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4.516195960751173E-2</c:v>
                </c:pt>
                <c:pt idx="7" formatCode="0.0%">
                  <c:v>4.5062415397080044E-2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EC7-434C-B71D-EC4615A4A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00272368"/>
        <c:axId val="500269624"/>
      </c:barChart>
      <c:catAx>
        <c:axId val="500272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500269624"/>
        <c:crosses val="autoZero"/>
        <c:auto val="1"/>
        <c:lblAlgn val="ctr"/>
        <c:lblOffset val="100"/>
        <c:noMultiLvlLbl val="0"/>
      </c:catAx>
      <c:valAx>
        <c:axId val="50026962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crossAx val="50027236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10395387323573"/>
          <c:y val="3.9007529729678886E-2"/>
          <c:w val="0.86844490824189147"/>
          <c:h val="0.8024169386550283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'3 Public Non-Charter Poverty'!$D$10</c:f>
              <c:strCache>
                <c:ptCount val="1"/>
                <c:pt idx="0">
                  <c:v>Public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 Public Non-Charter Poverty'!$A$40:$A$47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'3 Public Non-Charter Poverty'!$D$40:$D$41</c:f>
              <c:numCache>
                <c:formatCode>0.0%</c:formatCode>
                <c:ptCount val="2"/>
                <c:pt idx="0">
                  <c:v>0.45199284825220953</c:v>
                </c:pt>
                <c:pt idx="1">
                  <c:v>0.48114204627418883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05-4BAA-94F3-23767C784C6C}"/>
            </c:ext>
          </c:extLst>
        </c:ser>
        <c:ser>
          <c:idx val="3"/>
          <c:order val="1"/>
          <c:tx>
            <c:strRef>
              <c:f>'3 Public Non-Charter Poverty'!$E$10</c:f>
              <c:strCache>
                <c:ptCount val="1"/>
                <c:pt idx="0">
                  <c:v>Private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305-4BAA-94F3-23767C784C6C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305-4BAA-94F3-23767C784C6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 Public Non-Charter Poverty'!$A$40:$A$47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'3 Public Non-Charter Poverty'!$E$40:$E$41</c:f>
              <c:numCache>
                <c:formatCode>0.0%</c:formatCode>
                <c:ptCount val="2"/>
                <c:pt idx="0">
                  <c:v>5.3053073968055926E-2</c:v>
                </c:pt>
                <c:pt idx="1">
                  <c:v>5.5977696064721451E-2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05-4BAA-94F3-23767C784C6C}"/>
            </c:ext>
          </c:extLst>
        </c:ser>
        <c:ser>
          <c:idx val="0"/>
          <c:order val="2"/>
          <c:tx>
            <c:strRef>
              <c:f>'3 Public Non-Charter Poverty'!$F$10</c:f>
              <c:strCache>
                <c:ptCount val="1"/>
                <c:pt idx="0">
                  <c:v>Two-year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05-4BAA-94F3-23767C784C6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 Public Non-Charter Poverty'!$A$40:$A$47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'3 Public Non-Charter Poverty'!$F$37:$F$41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0.24239828310295114</c:v>
                </c:pt>
                <c:pt idx="4" formatCode="0.0%">
                  <c:v>0.26506825722537397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05-4BAA-94F3-23767C784C6C}"/>
            </c:ext>
          </c:extLst>
        </c:ser>
        <c:ser>
          <c:idx val="1"/>
          <c:order val="3"/>
          <c:tx>
            <c:strRef>
              <c:f>'3 Public Non-Charter Poverty'!$G$10</c:f>
              <c:strCache>
                <c:ptCount val="1"/>
                <c:pt idx="0">
                  <c:v>Four-year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05-4BAA-94F3-23767C784C6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 Public Non-Charter Poverty'!$A$40:$A$47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'3 Public Non-Charter Poverty'!$G$37:$G$41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0.26257003250523098</c:v>
                </c:pt>
                <c:pt idx="4" formatCode="0.0%">
                  <c:v>0.27205148511353633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05-4BAA-94F3-23767C784C6C}"/>
            </c:ext>
          </c:extLst>
        </c:ser>
        <c:ser>
          <c:idx val="4"/>
          <c:order val="4"/>
          <c:tx>
            <c:strRef>
              <c:f>'3 Public Non-Charter Poverty'!$H$10</c:f>
              <c:strCache>
                <c:ptCount val="1"/>
                <c:pt idx="0">
                  <c:v>In-state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05-4BAA-94F3-23767C784C6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 Public Non-Charter Poverty'!$A$40:$A$47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'3 Public Non-Charter Poverty'!$H$34:$H$41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0.45964903902120152</c:v>
                </c:pt>
                <c:pt idx="7" formatCode="0.0%">
                  <c:v>0.49340979948244035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305-4BAA-94F3-23767C784C6C}"/>
            </c:ext>
          </c:extLst>
        </c:ser>
        <c:ser>
          <c:idx val="5"/>
          <c:order val="5"/>
          <c:tx>
            <c:strRef>
              <c:f>'3 Public Non-Charter Poverty'!$I$10</c:f>
              <c:strCache>
                <c:ptCount val="1"/>
                <c:pt idx="0">
                  <c:v>Out-of-state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305-4BAA-94F3-23767C784C6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 Public Non-Charter Poverty'!$A$40:$A$47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'3 Public Non-Charter Poverty'!$I$34:$I$41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4.5396883199063945E-2</c:v>
                </c:pt>
                <c:pt idx="7" formatCode="0.0%">
                  <c:v>4.3709942856469938E-2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305-4BAA-94F3-23767C784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00272368"/>
        <c:axId val="500269624"/>
      </c:barChart>
      <c:catAx>
        <c:axId val="500272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500269624"/>
        <c:crosses val="autoZero"/>
        <c:auto val="1"/>
        <c:lblAlgn val="ctr"/>
        <c:lblOffset val="100"/>
        <c:noMultiLvlLbl val="0"/>
      </c:catAx>
      <c:valAx>
        <c:axId val="50026962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crossAx val="50027236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10395387323573"/>
          <c:y val="3.9007529729678886E-2"/>
          <c:w val="0.86844490824189147"/>
          <c:h val="0.8024169386550283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'5 Public Non-Charter Minority'!$D$10</c:f>
              <c:strCache>
                <c:ptCount val="1"/>
                <c:pt idx="0">
                  <c:v>Public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 Public Non-Charter Minority'!$A$130:$A$137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'5 Public Non-Charter Minority'!$Q$130:$Q$131</c:f>
              <c:numCache>
                <c:formatCode>0.0%</c:formatCode>
                <c:ptCount val="2"/>
                <c:pt idx="0">
                  <c:v>0.3693494221311211</c:v>
                </c:pt>
                <c:pt idx="1">
                  <c:v>0.36504493608692018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18-42E7-8C9D-2D403803DA00}"/>
            </c:ext>
          </c:extLst>
        </c:ser>
        <c:ser>
          <c:idx val="3"/>
          <c:order val="1"/>
          <c:tx>
            <c:strRef>
              <c:f>'5 Public Non-Charter Minority'!$E$10</c:f>
              <c:strCache>
                <c:ptCount val="1"/>
                <c:pt idx="0">
                  <c:v>Private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 Public Non-Charter Minority'!$A$130:$A$137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'5 Public Non-Charter Minority'!$R$130:$R$131</c:f>
              <c:numCache>
                <c:formatCode>0.0%</c:formatCode>
                <c:ptCount val="2"/>
                <c:pt idx="0">
                  <c:v>0.12167314472827594</c:v>
                </c:pt>
                <c:pt idx="1">
                  <c:v>0.11953993722076568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18-42E7-8C9D-2D403803DA00}"/>
            </c:ext>
          </c:extLst>
        </c:ser>
        <c:ser>
          <c:idx val="0"/>
          <c:order val="2"/>
          <c:tx>
            <c:strRef>
              <c:f>'5 Public Non-Charter Minority'!$F$10</c:f>
              <c:strCache>
                <c:ptCount val="1"/>
                <c:pt idx="0">
                  <c:v>Two-year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18-42E7-8C9D-2D403803DA0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 Public Non-Charter Minority'!$A$130:$A$137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'5 Public Non-Charter Minority'!$S$127:$S$131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9.3937533437755821E-2</c:v>
                </c:pt>
                <c:pt idx="4" formatCode="0.0%">
                  <c:v>9.1858989405506908E-2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18-42E7-8C9D-2D403803DA00}"/>
            </c:ext>
          </c:extLst>
        </c:ser>
        <c:ser>
          <c:idx val="1"/>
          <c:order val="3"/>
          <c:tx>
            <c:strRef>
              <c:f>'5 Public Non-Charter Minority'!$G$10</c:f>
              <c:strCache>
                <c:ptCount val="1"/>
                <c:pt idx="0">
                  <c:v>Four-year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18-42E7-8C9D-2D403803DA0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 Public Non-Charter Minority'!$A$130:$A$137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'5 Public Non-Charter Minority'!$T$127:$T$131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0.39704313551073556</c:v>
                </c:pt>
                <c:pt idx="4" formatCode="0.0%">
                  <c:v>0.39270280915192335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18-42E7-8C9D-2D403803DA00}"/>
            </c:ext>
          </c:extLst>
        </c:ser>
        <c:ser>
          <c:idx val="4"/>
          <c:order val="4"/>
          <c:tx>
            <c:strRef>
              <c:f>'5 Public Non-Charter Minority'!$H$10</c:f>
              <c:strCache>
                <c:ptCount val="1"/>
                <c:pt idx="0">
                  <c:v>In-state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018-42E7-8C9D-2D403803DA0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 Public Non-Charter Minority'!$A$130:$A$137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'5 Public Non-Charter Minority'!$U$124:$U$131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0.36694029225404312</c:v>
                </c:pt>
                <c:pt idx="7" formatCode="0.0%">
                  <c:v>0.36150654248737851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018-42E7-8C9D-2D403803DA00}"/>
            </c:ext>
          </c:extLst>
        </c:ser>
        <c:ser>
          <c:idx val="5"/>
          <c:order val="5"/>
          <c:tx>
            <c:strRef>
              <c:f>'5 Public Non-Charter Minority'!$I$10</c:f>
              <c:strCache>
                <c:ptCount val="1"/>
                <c:pt idx="0">
                  <c:v>Out-of-state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018-42E7-8C9D-2D403803DA0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 Public Non-Charter Minority'!$A$130:$A$137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'5 Public Non-Charter Minority'!$V$124:$V$131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0.12408227460535391</c:v>
                </c:pt>
                <c:pt idx="7" formatCode="0.0%">
                  <c:v>0.12307833082030738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018-42E7-8C9D-2D403803D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00272368"/>
        <c:axId val="500269624"/>
      </c:barChart>
      <c:catAx>
        <c:axId val="500272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500269624"/>
        <c:crosses val="autoZero"/>
        <c:auto val="1"/>
        <c:lblAlgn val="ctr"/>
        <c:lblOffset val="100"/>
        <c:noMultiLvlLbl val="0"/>
      </c:catAx>
      <c:valAx>
        <c:axId val="50026962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crossAx val="50027236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10395387323573"/>
          <c:y val="3.9007529729678886E-2"/>
          <c:w val="0.86844490824189147"/>
          <c:h val="0.8024169386550283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'6 Public Non-Charter Urbanicity'!$D$10</c:f>
              <c:strCache>
                <c:ptCount val="1"/>
                <c:pt idx="0">
                  <c:v>Public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'6 Public Non-Charter Urbanicity'!$D$11:$D$12</c:f>
              <c:numCache>
                <c:formatCode>0.0%</c:formatCode>
                <c:ptCount val="2"/>
                <c:pt idx="0">
                  <c:v>0.499531496163033</c:v>
                </c:pt>
                <c:pt idx="1">
                  <c:v>0.50206192500610614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D8-4DA8-AA0A-DB5585D6F17C}"/>
            </c:ext>
          </c:extLst>
        </c:ser>
        <c:ser>
          <c:idx val="3"/>
          <c:order val="1"/>
          <c:tx>
            <c:strRef>
              <c:f>'6 Public Non-Charter Urbanicity'!$E$10</c:f>
              <c:strCache>
                <c:ptCount val="1"/>
                <c:pt idx="0">
                  <c:v>Private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'6 Public Non-Charter Urbanicity'!$E$11:$E$12</c:f>
              <c:numCache>
                <c:formatCode>0.0%</c:formatCode>
                <c:ptCount val="2"/>
                <c:pt idx="0">
                  <c:v>8.7727740509223967E-2</c:v>
                </c:pt>
                <c:pt idx="1">
                  <c:v>9.0926468037507563E-2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D8-4DA8-AA0A-DB5585D6F17C}"/>
            </c:ext>
          </c:extLst>
        </c:ser>
        <c:ser>
          <c:idx val="0"/>
          <c:order val="2"/>
          <c:tx>
            <c:strRef>
              <c:f>'6 Public Non-Charter Urbanicity'!$F$10</c:f>
              <c:strCache>
                <c:ptCount val="1"/>
                <c:pt idx="0">
                  <c:v>Two-year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D8-4DA8-AA0A-DB5585D6F17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'6 Public Non-Charter Urbanicity'!$F$8:$F$12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0.20572876962951669</c:v>
                </c:pt>
                <c:pt idx="4" formatCode="0.0%">
                  <c:v>0.19823329309777241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D8-4DA8-AA0A-DB5585D6F17C}"/>
            </c:ext>
          </c:extLst>
        </c:ser>
        <c:ser>
          <c:idx val="1"/>
          <c:order val="3"/>
          <c:tx>
            <c:strRef>
              <c:f>'6 Public Non-Charter Urbanicity'!$G$10</c:f>
              <c:strCache>
                <c:ptCount val="1"/>
                <c:pt idx="0">
                  <c:v>Four-year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D8-4DA8-AA0A-DB5585D6F17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'6 Public Non-Charter Urbanicity'!$G$8:$G$12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0.38153046704274024</c:v>
                </c:pt>
                <c:pt idx="4" formatCode="0.0%">
                  <c:v>0.39475509994584129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AD8-4DA8-AA0A-DB5585D6F17C}"/>
            </c:ext>
          </c:extLst>
        </c:ser>
        <c:ser>
          <c:idx val="4"/>
          <c:order val="4"/>
          <c:tx>
            <c:strRef>
              <c:f>'6 Public Non-Charter Urbanicity'!$H$10</c:f>
              <c:strCache>
                <c:ptCount val="1"/>
                <c:pt idx="0">
                  <c:v>In-state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D8-4DA8-AA0A-DB5585D6F17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'6 Public Non-Charter Urbanicity'!$H$5:$H$12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0.4832783833917772</c:v>
                </c:pt>
                <c:pt idx="7" formatCode="0.0%">
                  <c:v>0.49140717089730018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AD8-4DA8-AA0A-DB5585D6F17C}"/>
            </c:ext>
          </c:extLst>
        </c:ser>
        <c:ser>
          <c:idx val="5"/>
          <c:order val="5"/>
          <c:tx>
            <c:strRef>
              <c:f>'6 Public Non-Charter Urbanicity'!$I$10</c:f>
              <c:strCache>
                <c:ptCount val="1"/>
                <c:pt idx="0">
                  <c:v>Out-of-state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AD8-4DA8-AA0A-DB5585D6F17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'6 Public Non-Charter Urbanicity'!$I$5:$I$12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0.10398085328047975</c:v>
                </c:pt>
                <c:pt idx="7" formatCode="0.0%">
                  <c:v>0.10158122214631349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AD8-4DA8-AA0A-DB5585D6F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00272368"/>
        <c:axId val="500269624"/>
      </c:barChart>
      <c:catAx>
        <c:axId val="500272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500269624"/>
        <c:crosses val="autoZero"/>
        <c:auto val="1"/>
        <c:lblAlgn val="ctr"/>
        <c:lblOffset val="100"/>
        <c:noMultiLvlLbl val="0"/>
      </c:catAx>
      <c:valAx>
        <c:axId val="50026962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crossAx val="50027236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10395387323573"/>
          <c:y val="3.9007529729678886E-2"/>
          <c:w val="0.86844490824189147"/>
          <c:h val="0.8024169386550283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'6 Public Non-Charter Urbanicity'!$Q$10</c:f>
              <c:strCache>
                <c:ptCount val="1"/>
                <c:pt idx="0">
                  <c:v>Public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'6 Public Non-Charter Urbanicity'!$Q$11:$Q$12</c:f>
              <c:numCache>
                <c:formatCode>0.0%</c:formatCode>
                <c:ptCount val="2"/>
                <c:pt idx="0">
                  <c:v>0.50997647134145363</c:v>
                </c:pt>
                <c:pt idx="1">
                  <c:v>0.50909231225883056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80-4B9D-A8CB-15132E731F88}"/>
            </c:ext>
          </c:extLst>
        </c:ser>
        <c:ser>
          <c:idx val="3"/>
          <c:order val="1"/>
          <c:tx>
            <c:strRef>
              <c:f>'6 Public Non-Charter Urbanicity'!$E$10</c:f>
              <c:strCache>
                <c:ptCount val="1"/>
                <c:pt idx="0">
                  <c:v>Private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'6 Public Non-Charter Urbanicity'!$R$11:$R$12</c:f>
              <c:numCache>
                <c:formatCode>0.0%</c:formatCode>
                <c:ptCount val="2"/>
                <c:pt idx="0">
                  <c:v>0.12605918978183972</c:v>
                </c:pt>
                <c:pt idx="1">
                  <c:v>0.13008251706737906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80-4B9D-A8CB-15132E731F88}"/>
            </c:ext>
          </c:extLst>
        </c:ser>
        <c:ser>
          <c:idx val="0"/>
          <c:order val="2"/>
          <c:tx>
            <c:strRef>
              <c:f>'6 Public Non-Charter Urbanicity'!$F$10</c:f>
              <c:strCache>
                <c:ptCount val="1"/>
                <c:pt idx="0">
                  <c:v>Two-year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80-4B9D-A8CB-15132E731F8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'6 Public Non-Charter Urbanicity'!$S$8:$S$12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0.19132374046982623</c:v>
                </c:pt>
                <c:pt idx="4" formatCode="0.0%">
                  <c:v>0.1820468981893737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80-4B9D-A8CB-15132E731F88}"/>
            </c:ext>
          </c:extLst>
        </c:ser>
        <c:ser>
          <c:idx val="1"/>
          <c:order val="3"/>
          <c:tx>
            <c:strRef>
              <c:f>'6 Public Non-Charter Urbanicity'!$G$10</c:f>
              <c:strCache>
                <c:ptCount val="1"/>
                <c:pt idx="0">
                  <c:v>Four-year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80-4B9D-A8CB-15132E731F8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'6 Public Non-Charter Urbanicity'!$T$8:$T$12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0.44471192065346715</c:v>
                </c:pt>
                <c:pt idx="4" formatCode="0.0%">
                  <c:v>0.45712793113683586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80-4B9D-A8CB-15132E731F88}"/>
            </c:ext>
          </c:extLst>
        </c:ser>
        <c:ser>
          <c:idx val="4"/>
          <c:order val="4"/>
          <c:tx>
            <c:strRef>
              <c:f>'6 Public Non-Charter Urbanicity'!$H$10</c:f>
              <c:strCache>
                <c:ptCount val="1"/>
                <c:pt idx="0">
                  <c:v>In-state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80-4B9D-A8CB-15132E731F8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'6 Public Non-Charter Urbanicity'!$U$5:$U$12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0.49261008050962757</c:v>
                </c:pt>
                <c:pt idx="7" formatCode="0.0%">
                  <c:v>0.4945871178391214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C80-4B9D-A8CB-15132E731F88}"/>
            </c:ext>
          </c:extLst>
        </c:ser>
        <c:ser>
          <c:idx val="5"/>
          <c:order val="5"/>
          <c:tx>
            <c:strRef>
              <c:f>'6 Public Non-Charter Urbanicity'!$I$10</c:f>
              <c:strCache>
                <c:ptCount val="1"/>
                <c:pt idx="0">
                  <c:v>Out-of-state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80-4B9D-A8CB-15132E731F8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'6 Public Non-Charter Urbanicity'!$V$5:$V$12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0.14342558061366584</c:v>
                </c:pt>
                <c:pt idx="7" formatCode="0.0%">
                  <c:v>0.14458771148708816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C80-4B9D-A8CB-15132E731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00272368"/>
        <c:axId val="500269624"/>
      </c:barChart>
      <c:catAx>
        <c:axId val="500272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500269624"/>
        <c:crosses val="autoZero"/>
        <c:auto val="1"/>
        <c:lblAlgn val="ctr"/>
        <c:lblOffset val="100"/>
        <c:noMultiLvlLbl val="0"/>
      </c:catAx>
      <c:valAx>
        <c:axId val="50026962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crossAx val="50027236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10395387323573"/>
          <c:y val="3.9007529729678886E-2"/>
          <c:w val="0.86844490824189147"/>
          <c:h val="0.8024169386550283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'6 Public Non-Charter Urbanicity'!$D$10</c:f>
              <c:strCache>
                <c:ptCount val="1"/>
                <c:pt idx="0">
                  <c:v>Public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'6 Public Non-Charter Urbanicity'!$D$40:$D$41</c:f>
              <c:numCache>
                <c:formatCode>0.0%</c:formatCode>
                <c:ptCount val="2"/>
                <c:pt idx="0">
                  <c:v>0.50698913325318817</c:v>
                </c:pt>
                <c:pt idx="1">
                  <c:v>0.53111024292320985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F9-46A7-B090-D633EEF0C09D}"/>
            </c:ext>
          </c:extLst>
        </c:ser>
        <c:ser>
          <c:idx val="3"/>
          <c:order val="1"/>
          <c:tx>
            <c:strRef>
              <c:f>'6 Public Non-Charter Urbanicity'!$E$10</c:f>
              <c:strCache>
                <c:ptCount val="1"/>
                <c:pt idx="0">
                  <c:v>Private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F9-46A7-B090-D633EEF0C09D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F9-46A7-B090-D633EEF0C09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'6 Public Non-Charter Urbanicity'!$E$40:$E$41</c:f>
              <c:numCache>
                <c:formatCode>0.0%</c:formatCode>
                <c:ptCount val="2"/>
                <c:pt idx="0">
                  <c:v>9.5280076059370306E-2</c:v>
                </c:pt>
                <c:pt idx="1">
                  <c:v>9.2617650048279723E-2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F9-46A7-B090-D633EEF0C09D}"/>
            </c:ext>
          </c:extLst>
        </c:ser>
        <c:ser>
          <c:idx val="0"/>
          <c:order val="2"/>
          <c:tx>
            <c:strRef>
              <c:f>'6 Public Non-Charter Urbanicity'!$F$10</c:f>
              <c:strCache>
                <c:ptCount val="1"/>
                <c:pt idx="0">
                  <c:v>Two-year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F9-46A7-B090-D633EEF0C09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'6 Public Non-Charter Urbanicity'!$F$37:$F$41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0.21231564638678704</c:v>
                </c:pt>
                <c:pt idx="4" formatCode="0.0%">
                  <c:v>0.22759439955277735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F9-46A7-B090-D633EEF0C09D}"/>
            </c:ext>
          </c:extLst>
        </c:ser>
        <c:ser>
          <c:idx val="1"/>
          <c:order val="3"/>
          <c:tx>
            <c:strRef>
              <c:f>'6 Public Non-Charter Urbanicity'!$G$10</c:f>
              <c:strCache>
                <c:ptCount val="1"/>
                <c:pt idx="0">
                  <c:v>Four-year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2F9-46A7-B090-D633EEF0C09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'6 Public Non-Charter Urbanicity'!$G$37:$G$41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0.38993313375605998</c:v>
                </c:pt>
                <c:pt idx="4" formatCode="0.0%">
                  <c:v>0.39613349341871218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2F9-46A7-B090-D633EEF0C09D}"/>
            </c:ext>
          </c:extLst>
        </c:ser>
        <c:ser>
          <c:idx val="4"/>
          <c:order val="4"/>
          <c:tx>
            <c:strRef>
              <c:f>'6 Public Non-Charter Urbanicity'!$H$10</c:f>
              <c:strCache>
                <c:ptCount val="1"/>
                <c:pt idx="0">
                  <c:v>In-state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2F9-46A7-B090-D633EEF0C09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'6 Public Non-Charter Urbanicity'!$H$34:$H$41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0.49176468739441653</c:v>
                </c:pt>
                <c:pt idx="7" formatCode="0.0%">
                  <c:v>0.51459508563297252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2F9-46A7-B090-D633EEF0C09D}"/>
            </c:ext>
          </c:extLst>
        </c:ser>
        <c:ser>
          <c:idx val="5"/>
          <c:order val="5"/>
          <c:tx>
            <c:strRef>
              <c:f>'6 Public Non-Charter Urbanicity'!$I$10</c:f>
              <c:strCache>
                <c:ptCount val="1"/>
                <c:pt idx="0">
                  <c:v>Out-of-state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2F9-46A7-B090-D633EEF0C09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'6 Public Non-Charter Urbanicity'!$I$34:$I$41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0.11050452191814189</c:v>
                </c:pt>
                <c:pt idx="7" formatCode="0.0%">
                  <c:v>0.10913280733851705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2F9-46A7-B090-D633EEF0C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00272368"/>
        <c:axId val="500269624"/>
      </c:barChart>
      <c:catAx>
        <c:axId val="500272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500269624"/>
        <c:crosses val="autoZero"/>
        <c:auto val="1"/>
        <c:lblAlgn val="ctr"/>
        <c:lblOffset val="100"/>
        <c:noMultiLvlLbl val="0"/>
      </c:catAx>
      <c:valAx>
        <c:axId val="50026962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crossAx val="50027236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10395387323573"/>
          <c:y val="3.9007529729678886E-2"/>
          <c:w val="0.86844490824189147"/>
          <c:h val="0.8024169386550283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'6 Public Non-Charter Urbanicity'!$D$10</c:f>
              <c:strCache>
                <c:ptCount val="1"/>
                <c:pt idx="0">
                  <c:v>Public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'6 Public Non-Charter Urbanicity'!$Q$40:$Q$41</c:f>
              <c:numCache>
                <c:formatCode>0.0%</c:formatCode>
                <c:ptCount val="2"/>
                <c:pt idx="0">
                  <c:v>0.52361934622503792</c:v>
                </c:pt>
                <c:pt idx="1">
                  <c:v>0.53923843974582641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5E-4D0E-BF76-5565AB0A272A}"/>
            </c:ext>
          </c:extLst>
        </c:ser>
        <c:ser>
          <c:idx val="3"/>
          <c:order val="1"/>
          <c:tx>
            <c:strRef>
              <c:f>'6 Public Non-Charter Urbanicity'!$E$10</c:f>
              <c:strCache>
                <c:ptCount val="1"/>
                <c:pt idx="0">
                  <c:v>Private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'6 Public Non-Charter Urbanicity'!$R$40:$R$41</c:f>
              <c:numCache>
                <c:formatCode>0.0%</c:formatCode>
                <c:ptCount val="2"/>
                <c:pt idx="0">
                  <c:v>0.13413560285967083</c:v>
                </c:pt>
                <c:pt idx="1">
                  <c:v>0.13133686529976366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5E-4D0E-BF76-5565AB0A272A}"/>
            </c:ext>
          </c:extLst>
        </c:ser>
        <c:ser>
          <c:idx val="0"/>
          <c:order val="2"/>
          <c:tx>
            <c:strRef>
              <c:f>'6 Public Non-Charter Urbanicity'!$F$10</c:f>
              <c:strCache>
                <c:ptCount val="1"/>
                <c:pt idx="0">
                  <c:v>Two-year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5E-4D0E-BF76-5565AB0A272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'6 Public Non-Charter Urbanicity'!$S$37:$S$41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0.20288948110061175</c:v>
                </c:pt>
                <c:pt idx="4" formatCode="0.0%">
                  <c:v>0.21025977559741985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5E-4D0E-BF76-5565AB0A272A}"/>
            </c:ext>
          </c:extLst>
        </c:ser>
        <c:ser>
          <c:idx val="1"/>
          <c:order val="3"/>
          <c:tx>
            <c:strRef>
              <c:f>'6 Public Non-Charter Urbanicity'!$G$10</c:f>
              <c:strCache>
                <c:ptCount val="1"/>
                <c:pt idx="0">
                  <c:v>Four-year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5E-4D0E-BF76-5565AB0A272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'6 Public Non-Charter Urbanicity'!$T$37:$T$41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0.45484115465077068</c:v>
                </c:pt>
                <c:pt idx="4" formatCode="0.0%">
                  <c:v>0.46031552944817028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A5E-4D0E-BF76-5565AB0A272A}"/>
            </c:ext>
          </c:extLst>
        </c:ser>
        <c:ser>
          <c:idx val="4"/>
          <c:order val="4"/>
          <c:tx>
            <c:strRef>
              <c:f>'6 Public Non-Charter Urbanicity'!$H$10</c:f>
              <c:strCache>
                <c:ptCount val="1"/>
                <c:pt idx="0">
                  <c:v>In-state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A5E-4D0E-BF76-5565AB0A272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'6 Public Non-Charter Urbanicity'!$U$34:$U$41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0.50951972709868998</c:v>
                </c:pt>
                <c:pt idx="7" formatCode="0.0%">
                  <c:v>0.52146443224439931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A5E-4D0E-BF76-5565AB0A272A}"/>
            </c:ext>
          </c:extLst>
        </c:ser>
        <c:ser>
          <c:idx val="5"/>
          <c:order val="5"/>
          <c:tx>
            <c:strRef>
              <c:f>'6 Public Non-Charter Urbanicity'!$I$10</c:f>
              <c:strCache>
                <c:ptCount val="1"/>
                <c:pt idx="0">
                  <c:v>Out-of-state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A5E-4D0E-BF76-5565AB0A272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'6 Public Non-Charter Urbanicity'!$V$34:$V$41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0.14823522198601877</c:v>
                </c:pt>
                <c:pt idx="7" formatCode="0.0%">
                  <c:v>0.14911087280119084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A5E-4D0E-BF76-5565AB0A2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00272368"/>
        <c:axId val="500269624"/>
      </c:barChart>
      <c:catAx>
        <c:axId val="500272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500269624"/>
        <c:crosses val="autoZero"/>
        <c:auto val="1"/>
        <c:lblAlgn val="ctr"/>
        <c:lblOffset val="100"/>
        <c:noMultiLvlLbl val="0"/>
      </c:catAx>
      <c:valAx>
        <c:axId val="50026962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crossAx val="50027236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10395387323573"/>
          <c:y val="3.9007529729678886E-2"/>
          <c:w val="0.86844490824189147"/>
          <c:h val="0.8024169386550283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'6 Public Non-Charter Urbanicity'!$D$10</c:f>
              <c:strCache>
                <c:ptCount val="1"/>
                <c:pt idx="0">
                  <c:v>Public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'6 Public Non-Charter Urbanicity'!$D$70:$D$71</c:f>
              <c:numCache>
                <c:formatCode>0.0%</c:formatCode>
                <c:ptCount val="2"/>
                <c:pt idx="0">
                  <c:v>0.54409447395458288</c:v>
                </c:pt>
                <c:pt idx="1">
                  <c:v>0.54515553669786043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66-440A-9F55-87A044544E92}"/>
            </c:ext>
          </c:extLst>
        </c:ser>
        <c:ser>
          <c:idx val="3"/>
          <c:order val="1"/>
          <c:tx>
            <c:strRef>
              <c:f>'6 Public Non-Charter Urbanicity'!$E$10</c:f>
              <c:strCache>
                <c:ptCount val="1"/>
                <c:pt idx="0">
                  <c:v>Private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'6 Public Non-Charter Urbanicity'!$E$70:$E$71</c:f>
              <c:numCache>
                <c:formatCode>0.0%</c:formatCode>
                <c:ptCount val="2"/>
                <c:pt idx="0">
                  <c:v>0.10099246462047418</c:v>
                </c:pt>
                <c:pt idx="1">
                  <c:v>0.10055708774328391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66-440A-9F55-87A044544E92}"/>
            </c:ext>
          </c:extLst>
        </c:ser>
        <c:ser>
          <c:idx val="0"/>
          <c:order val="2"/>
          <c:tx>
            <c:strRef>
              <c:f>'6 Public Non-Charter Urbanicity'!$F$10</c:f>
              <c:strCache>
                <c:ptCount val="1"/>
                <c:pt idx="0">
                  <c:v>Two-year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66-440A-9F55-87A044544E9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'6 Public Non-Charter Urbanicity'!$F$67:$F$71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0.25053103184383296</c:v>
                </c:pt>
                <c:pt idx="4" formatCode="0.0%">
                  <c:v>0.24116163401928201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66-440A-9F55-87A044544E92}"/>
            </c:ext>
          </c:extLst>
        </c:ser>
        <c:ser>
          <c:idx val="1"/>
          <c:order val="3"/>
          <c:tx>
            <c:strRef>
              <c:f>'6 Public Non-Charter Urbanicity'!$G$10</c:f>
              <c:strCache>
                <c:ptCount val="1"/>
                <c:pt idx="0">
                  <c:v>Four-year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66-440A-9F55-87A044544E9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'6 Public Non-Charter Urbanicity'!$G$67:$G$71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0.39449564779859053</c:v>
                </c:pt>
                <c:pt idx="4" formatCode="0.0%">
                  <c:v>0.40452113240459187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66-440A-9F55-87A044544E92}"/>
            </c:ext>
          </c:extLst>
        </c:ser>
        <c:ser>
          <c:idx val="4"/>
          <c:order val="4"/>
          <c:tx>
            <c:strRef>
              <c:f>'6 Public Non-Charter Urbanicity'!$H$10</c:f>
              <c:strCache>
                <c:ptCount val="1"/>
                <c:pt idx="0">
                  <c:v>In-state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866-440A-9F55-87A044544E9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'6 Public Non-Charter Urbanicity'!$H$64:$H$71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0.53859283340514186</c:v>
                </c:pt>
                <c:pt idx="7" formatCode="0.0%">
                  <c:v>0.52738530199812994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866-440A-9F55-87A044544E92}"/>
            </c:ext>
          </c:extLst>
        </c:ser>
        <c:ser>
          <c:idx val="5"/>
          <c:order val="5"/>
          <c:tx>
            <c:strRef>
              <c:f>'6 Public Non-Charter Urbanicity'!$I$10</c:f>
              <c:strCache>
                <c:ptCount val="1"/>
                <c:pt idx="0">
                  <c:v>Out-of-state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866-440A-9F55-87A044544E9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'6 Public Non-Charter Urbanicity'!$I$64:$I$71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0.10649410516991513</c:v>
                </c:pt>
                <c:pt idx="7" formatCode="0.0%">
                  <c:v>0.1183273224430144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866-440A-9F55-87A044544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00272368"/>
        <c:axId val="500269624"/>
      </c:barChart>
      <c:catAx>
        <c:axId val="500272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500269624"/>
        <c:crosses val="autoZero"/>
        <c:auto val="1"/>
        <c:lblAlgn val="ctr"/>
        <c:lblOffset val="100"/>
        <c:noMultiLvlLbl val="0"/>
      </c:catAx>
      <c:valAx>
        <c:axId val="50026962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crossAx val="50027236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10395387323573"/>
          <c:y val="3.9007529729678886E-2"/>
          <c:w val="0.86844490824189147"/>
          <c:h val="0.8024169386550283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'6 Public Non-Charter Urbanicity'!$D$10</c:f>
              <c:strCache>
                <c:ptCount val="1"/>
                <c:pt idx="0">
                  <c:v>Public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'6 Public Non-Charter Urbanicity'!$Q$70:$Q$71</c:f>
              <c:numCache>
                <c:formatCode>0.0%</c:formatCode>
                <c:ptCount val="2"/>
                <c:pt idx="0">
                  <c:v>0.56446397772374957</c:v>
                </c:pt>
                <c:pt idx="1">
                  <c:v>0.55758930128765527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E8-4024-BD6E-F03E8FCBD1BD}"/>
            </c:ext>
          </c:extLst>
        </c:ser>
        <c:ser>
          <c:idx val="3"/>
          <c:order val="1"/>
          <c:tx>
            <c:strRef>
              <c:f>'6 Public Non-Charter Urbanicity'!$E$10</c:f>
              <c:strCache>
                <c:ptCount val="1"/>
                <c:pt idx="0">
                  <c:v>Private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'6 Public Non-Charter Urbanicity'!$R$70:$R$71</c:f>
              <c:numCache>
                <c:formatCode>0.0%</c:formatCode>
                <c:ptCount val="2"/>
                <c:pt idx="0">
                  <c:v>0.13636618664671779</c:v>
                </c:pt>
                <c:pt idx="1">
                  <c:v>0.13944965184363778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E8-4024-BD6E-F03E8FCBD1BD}"/>
            </c:ext>
          </c:extLst>
        </c:ser>
        <c:ser>
          <c:idx val="0"/>
          <c:order val="2"/>
          <c:tx>
            <c:strRef>
              <c:f>'6 Public Non-Charter Urbanicity'!$F$10</c:f>
              <c:strCache>
                <c:ptCount val="1"/>
                <c:pt idx="0">
                  <c:v>Two-year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E8-4024-BD6E-F03E8FCBD1B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'6 Public Non-Charter Urbanicity'!$S$67:$S$71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0.24121729734222722</c:v>
                </c:pt>
                <c:pt idx="4" formatCode="0.0%">
                  <c:v>0.2282525161657239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E8-4024-BD6E-F03E8FCBD1BD}"/>
            </c:ext>
          </c:extLst>
        </c:ser>
        <c:ser>
          <c:idx val="1"/>
          <c:order val="3"/>
          <c:tx>
            <c:strRef>
              <c:f>'6 Public Non-Charter Urbanicity'!$G$10</c:f>
              <c:strCache>
                <c:ptCount val="1"/>
                <c:pt idx="0">
                  <c:v>Four-year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E8-4024-BD6E-F03E8FCBD1B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'6 Public Non-Charter Urbanicity'!$T$67:$T$71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0.45957857988903433</c:v>
                </c:pt>
                <c:pt idx="4" formatCode="0.0%">
                  <c:v>0.4687547239221001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5E8-4024-BD6E-F03E8FCBD1BD}"/>
            </c:ext>
          </c:extLst>
        </c:ser>
        <c:ser>
          <c:idx val="4"/>
          <c:order val="4"/>
          <c:tx>
            <c:strRef>
              <c:f>'6 Public Non-Charter Urbanicity'!$H$10</c:f>
              <c:strCache>
                <c:ptCount val="1"/>
                <c:pt idx="0">
                  <c:v>In-state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E8-4024-BD6E-F03E8FCBD1B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'6 Public Non-Charter Urbanicity'!$U$64:$U$71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0.55732601874363608</c:v>
                </c:pt>
                <c:pt idx="7" formatCode="0.0%">
                  <c:v>0.54099280853884268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5E8-4024-BD6E-F03E8FCBD1BD}"/>
            </c:ext>
          </c:extLst>
        </c:ser>
        <c:ser>
          <c:idx val="5"/>
          <c:order val="5"/>
          <c:tx>
            <c:strRef>
              <c:f>'6 Public Non-Charter Urbanicity'!$I$10</c:f>
              <c:strCache>
                <c:ptCount val="1"/>
                <c:pt idx="0">
                  <c:v>Out-of-state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5E8-4024-BD6E-F03E8FCBD1B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'6 Public Non-Charter Urbanicity'!$V$64:$V$71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0.14350414562683125</c:v>
                </c:pt>
                <c:pt idx="7" formatCode="0.0%">
                  <c:v>0.15604614459245039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5E8-4024-BD6E-F03E8FCBD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00272368"/>
        <c:axId val="500269624"/>
      </c:barChart>
      <c:catAx>
        <c:axId val="500272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500269624"/>
        <c:crosses val="autoZero"/>
        <c:auto val="1"/>
        <c:lblAlgn val="ctr"/>
        <c:lblOffset val="100"/>
        <c:noMultiLvlLbl val="0"/>
      </c:catAx>
      <c:valAx>
        <c:axId val="50026962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crossAx val="50027236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 Public Non-Charter Urbanicity'!$A$100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 Public Non-Charter Urbanicity'!$C$99:$I$99</c:f>
              <c:strCache>
                <c:ptCount val="7"/>
                <c:pt idx="0">
                  <c:v>Total</c:v>
                </c:pt>
                <c:pt idx="1">
                  <c:v>Public</c:v>
                </c:pt>
                <c:pt idx="2">
                  <c:v>Private</c:v>
                </c:pt>
                <c:pt idx="3">
                  <c:v>Two-year</c:v>
                </c:pt>
                <c:pt idx="4">
                  <c:v>Four-year</c:v>
                </c:pt>
                <c:pt idx="5">
                  <c:v>In-state</c:v>
                </c:pt>
                <c:pt idx="6">
                  <c:v>Out-of-state</c:v>
                </c:pt>
              </c:strCache>
            </c:strRef>
          </c:cat>
          <c:val>
            <c:numRef>
              <c:f>'6 Public Non-Charter Urbanicity'!$C$100:$I$100</c:f>
              <c:numCache>
                <c:formatCode>0.0%</c:formatCode>
                <c:ptCount val="7"/>
                <c:pt idx="0">
                  <c:v>0.80767583503901907</c:v>
                </c:pt>
                <c:pt idx="1">
                  <c:v>0.79796028672945885</c:v>
                </c:pt>
                <c:pt idx="2">
                  <c:v>0.85987210612335574</c:v>
                </c:pt>
                <c:pt idx="3">
                  <c:v>0.68824002681863894</c:v>
                </c:pt>
                <c:pt idx="4">
                  <c:v>0.87829497286376423</c:v>
                </c:pt>
                <c:pt idx="5">
                  <c:v>0.79374695314079169</c:v>
                </c:pt>
                <c:pt idx="6">
                  <c:v>0.87956002822691992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ED-4D83-9C36-E3D3CED98057}"/>
            </c:ext>
          </c:extLst>
        </c:ser>
        <c:ser>
          <c:idx val="1"/>
          <c:order val="1"/>
          <c:tx>
            <c:strRef>
              <c:f>'6 Public Non-Charter Urbanicity'!$A$101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 Public Non-Charter Urbanicity'!$C$99:$I$99</c:f>
              <c:strCache>
                <c:ptCount val="7"/>
                <c:pt idx="0">
                  <c:v>Total</c:v>
                </c:pt>
                <c:pt idx="1">
                  <c:v>Public</c:v>
                </c:pt>
                <c:pt idx="2">
                  <c:v>Private</c:v>
                </c:pt>
                <c:pt idx="3">
                  <c:v>Two-year</c:v>
                </c:pt>
                <c:pt idx="4">
                  <c:v>Four-year</c:v>
                </c:pt>
                <c:pt idx="5">
                  <c:v>In-state</c:v>
                </c:pt>
                <c:pt idx="6">
                  <c:v>Out-of-state</c:v>
                </c:pt>
              </c:strCache>
            </c:strRef>
          </c:cat>
          <c:val>
            <c:numRef>
              <c:f>'6 Public Non-Charter Urbanicity'!$C$101:$I$101</c:f>
              <c:numCache>
                <c:formatCode>0.0%</c:formatCode>
                <c:ptCount val="7"/>
                <c:pt idx="0">
                  <c:v>0.83335725151402085</c:v>
                </c:pt>
                <c:pt idx="1">
                  <c:v>0.82442502014754204</c:v>
                </c:pt>
                <c:pt idx="2">
                  <c:v>0.88088601540466094</c:v>
                </c:pt>
                <c:pt idx="3">
                  <c:v>0.72400189480852073</c:v>
                </c:pt>
                <c:pt idx="4">
                  <c:v>0.892940048038947</c:v>
                </c:pt>
                <c:pt idx="5">
                  <c:v>0.81937609448698123</c:v>
                </c:pt>
                <c:pt idx="6">
                  <c:v>0.89557587565238417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ED-4D83-9C36-E3D3CED98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-27"/>
        <c:axId val="450104607"/>
        <c:axId val="450102207"/>
      </c:barChart>
      <c:catAx>
        <c:axId val="450104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102207"/>
        <c:crosses val="autoZero"/>
        <c:auto val="1"/>
        <c:lblAlgn val="ctr"/>
        <c:lblOffset val="100"/>
        <c:noMultiLvlLbl val="0"/>
      </c:catAx>
      <c:valAx>
        <c:axId val="450102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104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 Public Non-Charter Urbanicity'!$A$100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 Public Non-Charter Urbanicity'!$P$99:$V$99</c:f>
              <c:strCache>
                <c:ptCount val="7"/>
                <c:pt idx="0">
                  <c:v>Total</c:v>
                </c:pt>
                <c:pt idx="1">
                  <c:v>Public</c:v>
                </c:pt>
                <c:pt idx="2">
                  <c:v>Private</c:v>
                </c:pt>
                <c:pt idx="3">
                  <c:v>Two-year</c:v>
                </c:pt>
                <c:pt idx="4">
                  <c:v>Four-year</c:v>
                </c:pt>
                <c:pt idx="5">
                  <c:v>In-state</c:v>
                </c:pt>
                <c:pt idx="6">
                  <c:v>Out-of-state</c:v>
                </c:pt>
              </c:strCache>
            </c:strRef>
          </c:cat>
          <c:val>
            <c:numRef>
              <c:f>'6 Public Non-Charter Urbanicity'!$P$100:$V$100</c:f>
              <c:numCache>
                <c:formatCode>0.0%</c:formatCode>
                <c:ptCount val="7"/>
                <c:pt idx="0">
                  <c:v>0.84884634627962163</c:v>
                </c:pt>
                <c:pt idx="1">
                  <c:v>0.83443474524967287</c:v>
                </c:pt>
                <c:pt idx="2">
                  <c:v>0.90764303299259841</c:v>
                </c:pt>
                <c:pt idx="3">
                  <c:v>0.72058943060277025</c:v>
                </c:pt>
                <c:pt idx="4">
                  <c:v>0.91147746847734246</c:v>
                </c:pt>
                <c:pt idx="5">
                  <c:v>0.83188190398095074</c:v>
                </c:pt>
                <c:pt idx="6">
                  <c:v>0.91491321670108317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96-42C9-A45D-F9DB484034DE}"/>
            </c:ext>
          </c:extLst>
        </c:ser>
        <c:ser>
          <c:idx val="1"/>
          <c:order val="1"/>
          <c:tx>
            <c:strRef>
              <c:f>'6 Public Non-Charter Urbanicity'!$A$101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 Public Non-Charter Urbanicity'!$P$99:$V$99</c:f>
              <c:strCache>
                <c:ptCount val="7"/>
                <c:pt idx="0">
                  <c:v>Total</c:v>
                </c:pt>
                <c:pt idx="1">
                  <c:v>Public</c:v>
                </c:pt>
                <c:pt idx="2">
                  <c:v>Private</c:v>
                </c:pt>
                <c:pt idx="3">
                  <c:v>Two-year</c:v>
                </c:pt>
                <c:pt idx="4">
                  <c:v>Four-year</c:v>
                </c:pt>
                <c:pt idx="5">
                  <c:v>In-state</c:v>
                </c:pt>
                <c:pt idx="6">
                  <c:v>Out-of-state</c:v>
                </c:pt>
              </c:strCache>
            </c:strRef>
          </c:cat>
          <c:val>
            <c:numRef>
              <c:f>'6 Public Non-Charter Urbanicity'!$P$101:$V$101</c:f>
              <c:numCache>
                <c:formatCode>0.0%</c:formatCode>
                <c:ptCount val="7"/>
                <c:pt idx="0">
                  <c:v>0.86680059464020254</c:v>
                </c:pt>
                <c:pt idx="1">
                  <c:v>0.85313979428063835</c:v>
                </c:pt>
                <c:pt idx="2">
                  <c:v>0.92012766963511705</c:v>
                </c:pt>
                <c:pt idx="3">
                  <c:v>0.7458239983327255</c:v>
                </c:pt>
                <c:pt idx="4">
                  <c:v>0.92080823293172687</c:v>
                </c:pt>
                <c:pt idx="5">
                  <c:v>0.84979782031838369</c:v>
                </c:pt>
                <c:pt idx="6">
                  <c:v>0.92524317540006273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96-42C9-A45D-F9DB48403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-27"/>
        <c:axId val="450104607"/>
        <c:axId val="450102207"/>
      </c:barChart>
      <c:catAx>
        <c:axId val="450104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102207"/>
        <c:crosses val="autoZero"/>
        <c:auto val="1"/>
        <c:lblAlgn val="ctr"/>
        <c:lblOffset val="100"/>
        <c:noMultiLvlLbl val="0"/>
      </c:catAx>
      <c:valAx>
        <c:axId val="450102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104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10395387323573"/>
          <c:y val="3.9007529729678886E-2"/>
          <c:w val="0.86844490824189147"/>
          <c:h val="0.8024169386550283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'6 Public Non-Charter Urbanicity'!$D$10</c:f>
              <c:strCache>
                <c:ptCount val="1"/>
                <c:pt idx="0">
                  <c:v>Public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'6 Public Non-Charter Urbanicity'!$D$130:$D$131</c:f>
              <c:numCache>
                <c:formatCode>0.0%</c:formatCode>
                <c:ptCount val="2"/>
                <c:pt idx="0">
                  <c:v>0.30151647348663008</c:v>
                </c:pt>
                <c:pt idx="1">
                  <c:v>0.30044542638622679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2C-4319-9F8D-FCBA31F5DAF8}"/>
            </c:ext>
          </c:extLst>
        </c:ser>
        <c:ser>
          <c:idx val="3"/>
          <c:order val="1"/>
          <c:tx>
            <c:strRef>
              <c:f>'6 Public Non-Charter Urbanicity'!$E$10</c:f>
              <c:strCache>
                <c:ptCount val="1"/>
                <c:pt idx="0">
                  <c:v>Private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'6 Public Non-Charter Urbanicity'!$E$130:$E$131</c:f>
              <c:numCache>
                <c:formatCode>0.0%</c:formatCode>
                <c:ptCount val="2"/>
                <c:pt idx="0">
                  <c:v>7.4632946273860454E-2</c:v>
                </c:pt>
                <c:pt idx="1">
                  <c:v>7.5096554162529028E-2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2C-4319-9F8D-FCBA31F5DAF8}"/>
            </c:ext>
          </c:extLst>
        </c:ser>
        <c:ser>
          <c:idx val="0"/>
          <c:order val="2"/>
          <c:tx>
            <c:strRef>
              <c:f>'6 Public Non-Charter Urbanicity'!$F$10</c:f>
              <c:strCache>
                <c:ptCount val="1"/>
                <c:pt idx="0">
                  <c:v>Two-year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2C-4319-9F8D-FCBA31F5DAF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'6 Public Non-Charter Urbanicity'!$F$127:$F$131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8.2728498266362888E-2</c:v>
                </c:pt>
                <c:pt idx="4" formatCode="0.0%">
                  <c:v>8.260434870136131E-2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2C-4319-9F8D-FCBA31F5DAF8}"/>
            </c:ext>
          </c:extLst>
        </c:ser>
        <c:ser>
          <c:idx val="1"/>
          <c:order val="3"/>
          <c:tx>
            <c:strRef>
              <c:f>'6 Public Non-Charter Urbanicity'!$G$10</c:f>
              <c:strCache>
                <c:ptCount val="1"/>
                <c:pt idx="0">
                  <c:v>Four-year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2C-4319-9F8D-FCBA31F5DAF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'6 Public Non-Charter Urbanicity'!$G$127:$G$131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0.29328453854479392</c:v>
                </c:pt>
                <c:pt idx="4" formatCode="0.0%">
                  <c:v>0.29280567872120505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2C-4319-9F8D-FCBA31F5DAF8}"/>
            </c:ext>
          </c:extLst>
        </c:ser>
        <c:ser>
          <c:idx val="4"/>
          <c:order val="4"/>
          <c:tx>
            <c:strRef>
              <c:f>'6 Public Non-Charter Urbanicity'!$H$10</c:f>
              <c:strCache>
                <c:ptCount val="1"/>
                <c:pt idx="0">
                  <c:v>In-state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2C-4319-9F8D-FCBA31F5DAF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'6 Public Non-Charter Urbanicity'!$H$124:$H$131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0.29954241771999179</c:v>
                </c:pt>
                <c:pt idx="7" formatCode="0.0%">
                  <c:v>0.2986556006489387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02C-4319-9F8D-FCBA31F5DAF8}"/>
            </c:ext>
          </c:extLst>
        </c:ser>
        <c:ser>
          <c:idx val="5"/>
          <c:order val="5"/>
          <c:tx>
            <c:strRef>
              <c:f>'6 Public Non-Charter Urbanicity'!$I$10</c:f>
              <c:strCache>
                <c:ptCount val="1"/>
                <c:pt idx="0">
                  <c:v>Out-of-state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02C-4319-9F8D-FCBA31F5DAF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'6 Public Non-Charter Urbanicity'!$I$124:$I$131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7.6607002040498737E-2</c:v>
                </c:pt>
                <c:pt idx="7" formatCode="0.0%">
                  <c:v>7.6886379899817128E-2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02C-4319-9F8D-FCBA31F5D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00272368"/>
        <c:axId val="500269624"/>
      </c:barChart>
      <c:catAx>
        <c:axId val="500272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500269624"/>
        <c:crosses val="autoZero"/>
        <c:auto val="1"/>
        <c:lblAlgn val="ctr"/>
        <c:lblOffset val="100"/>
        <c:noMultiLvlLbl val="0"/>
      </c:catAx>
      <c:valAx>
        <c:axId val="50026962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crossAx val="50027236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10395387323573"/>
          <c:y val="3.9007529729678886E-2"/>
          <c:w val="0.86844490824189147"/>
          <c:h val="0.8024169386550283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'3 Public Non-Charter Poverty'!$D$10</c:f>
              <c:strCache>
                <c:ptCount val="1"/>
                <c:pt idx="0">
                  <c:v>Public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 Public Non-Charter Poverty'!$A$40:$A$47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'3 Public Non-Charter Poverty'!$Q$40:$Q$41</c:f>
              <c:numCache>
                <c:formatCode>0.0%</c:formatCode>
                <c:ptCount val="2"/>
                <c:pt idx="0">
                  <c:v>0.5862344270133244</c:v>
                </c:pt>
                <c:pt idx="1">
                  <c:v>0.5856224012830864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0D-4A26-B7C9-98ADCDBAB3E9}"/>
            </c:ext>
          </c:extLst>
        </c:ser>
        <c:ser>
          <c:idx val="3"/>
          <c:order val="1"/>
          <c:tx>
            <c:strRef>
              <c:f>'3 Public Non-Charter Poverty'!$E$10</c:f>
              <c:strCache>
                <c:ptCount val="1"/>
                <c:pt idx="0">
                  <c:v>Private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 Public Non-Charter Poverty'!$A$40:$A$47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'3 Public Non-Charter Poverty'!$R$40:$R$41</c:f>
              <c:numCache>
                <c:formatCode>0.0%</c:formatCode>
                <c:ptCount val="2"/>
                <c:pt idx="0">
                  <c:v>0.16533753123618616</c:v>
                </c:pt>
                <c:pt idx="1">
                  <c:v>0.1552043912022161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0D-4A26-B7C9-98ADCDBAB3E9}"/>
            </c:ext>
          </c:extLst>
        </c:ser>
        <c:ser>
          <c:idx val="0"/>
          <c:order val="2"/>
          <c:tx>
            <c:strRef>
              <c:f>'3 Public Non-Charter Poverty'!$F$10</c:f>
              <c:strCache>
                <c:ptCount val="1"/>
                <c:pt idx="0">
                  <c:v>Two-year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0D-4A26-B7C9-98ADCDBAB3E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 Public Non-Charter Poverty'!$A$40:$A$47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'3 Public Non-Charter Poverty'!$S$37:$S$41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0.17947838952087974</c:v>
                </c:pt>
                <c:pt idx="4" formatCode="0.0%">
                  <c:v>0.18399693875495943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0D-4A26-B7C9-98ADCDBAB3E9}"/>
            </c:ext>
          </c:extLst>
        </c:ser>
        <c:ser>
          <c:idx val="1"/>
          <c:order val="3"/>
          <c:tx>
            <c:strRef>
              <c:f>'3 Public Non-Charter Poverty'!$G$10</c:f>
              <c:strCache>
                <c:ptCount val="1"/>
                <c:pt idx="0">
                  <c:v>Four-year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B0D-4A26-B7C9-98ADCDBAB3E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 Public Non-Charter Poverty'!$A$40:$A$47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'3 Public Non-Charter Poverty'!$T$37:$T$41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0.5720913134083303</c:v>
                </c:pt>
                <c:pt idx="4" formatCode="0.0%">
                  <c:v>0.55682985373034311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B0D-4A26-B7C9-98ADCDBAB3E9}"/>
            </c:ext>
          </c:extLst>
        </c:ser>
        <c:ser>
          <c:idx val="4"/>
          <c:order val="4"/>
          <c:tx>
            <c:strRef>
              <c:f>'3 Public Non-Charter Poverty'!$H$10</c:f>
              <c:strCache>
                <c:ptCount val="1"/>
                <c:pt idx="0">
                  <c:v>In-state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0D-4A26-B7C9-98ADCDBAB3E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 Public Non-Charter Poverty'!$A$40:$A$47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'3 Public Non-Charter Poverty'!$U$34:$U$41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0.53069490929101748</c:v>
                </c:pt>
                <c:pt idx="7" formatCode="0.0%">
                  <c:v>0.52027983294976221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B0D-4A26-B7C9-98ADCDBAB3E9}"/>
            </c:ext>
          </c:extLst>
        </c:ser>
        <c:ser>
          <c:idx val="5"/>
          <c:order val="5"/>
          <c:tx>
            <c:strRef>
              <c:f>'3 Public Non-Charter Poverty'!$I$10</c:f>
              <c:strCache>
                <c:ptCount val="1"/>
                <c:pt idx="0">
                  <c:v>Out-of-state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B0D-4A26-B7C9-98ADCDBAB3E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 Public Non-Charter Poverty'!$A$40:$A$47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'3 Public Non-Charter Poverty'!$V$34:$V$41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0.22087704895849308</c:v>
                </c:pt>
                <c:pt idx="7" formatCode="0.0%">
                  <c:v>0.22054695953554029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B0D-4A26-B7C9-98ADCDBAB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00272368"/>
        <c:axId val="500269624"/>
      </c:barChart>
      <c:catAx>
        <c:axId val="500272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500269624"/>
        <c:crosses val="autoZero"/>
        <c:auto val="1"/>
        <c:lblAlgn val="ctr"/>
        <c:lblOffset val="100"/>
        <c:noMultiLvlLbl val="0"/>
      </c:catAx>
      <c:valAx>
        <c:axId val="50026962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crossAx val="50027236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10395387323573"/>
          <c:y val="3.9007529729678886E-2"/>
          <c:w val="0.86844490824189147"/>
          <c:h val="0.8024169386550283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'6 Public Non-Charter Urbanicity'!$D$10</c:f>
              <c:strCache>
                <c:ptCount val="1"/>
                <c:pt idx="0">
                  <c:v>Public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'6 Public Non-Charter Urbanicity'!$Q$130:$Q$131</c:f>
              <c:numCache>
                <c:formatCode>0.0%</c:formatCode>
                <c:ptCount val="2"/>
                <c:pt idx="0">
                  <c:v>0.35397630631134891</c:v>
                </c:pt>
                <c:pt idx="1">
                  <c:v>0.35116958564715933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8-427B-941F-6F783D878960}"/>
            </c:ext>
          </c:extLst>
        </c:ser>
        <c:ser>
          <c:idx val="3"/>
          <c:order val="1"/>
          <c:tx>
            <c:strRef>
              <c:f>'6 Public Non-Charter Urbanicity'!$E$10</c:f>
              <c:strCache>
                <c:ptCount val="1"/>
                <c:pt idx="0">
                  <c:v>Private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'6 Public Non-Charter Urbanicity'!$R$130:$R$131</c:f>
              <c:numCache>
                <c:formatCode>0.0%</c:formatCode>
                <c:ptCount val="2"/>
                <c:pt idx="0">
                  <c:v>0.11977524008393657</c:v>
                </c:pt>
                <c:pt idx="1">
                  <c:v>0.11834144952299587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B8-427B-941F-6F783D878960}"/>
            </c:ext>
          </c:extLst>
        </c:ser>
        <c:ser>
          <c:idx val="0"/>
          <c:order val="2"/>
          <c:tx>
            <c:strRef>
              <c:f>'6 Public Non-Charter Urbanicity'!$F$10</c:f>
              <c:strCache>
                <c:ptCount val="1"/>
                <c:pt idx="0">
                  <c:v>Two-year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B8-427B-941F-6F783D87896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'6 Public Non-Charter Urbanicity'!$S$127:$S$131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8.7779279274133759E-2</c:v>
                </c:pt>
                <c:pt idx="4" formatCode="0.0%">
                  <c:v>8.6790260572404951E-2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B8-427B-941F-6F783D878960}"/>
            </c:ext>
          </c:extLst>
        </c:ser>
        <c:ser>
          <c:idx val="1"/>
          <c:order val="3"/>
          <c:tx>
            <c:strRef>
              <c:f>'6 Public Non-Charter Urbanicity'!$G$10</c:f>
              <c:strCache>
                <c:ptCount val="1"/>
                <c:pt idx="0">
                  <c:v>Four-year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B8-427B-941F-6F783D87896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'6 Public Non-Charter Urbanicity'!$T$127:$T$131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0.3858237674815489</c:v>
                </c:pt>
                <c:pt idx="4" formatCode="0.0%">
                  <c:v>0.38259661113484267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B8-427B-941F-6F783D878960}"/>
            </c:ext>
          </c:extLst>
        </c:ser>
        <c:ser>
          <c:idx val="4"/>
          <c:order val="4"/>
          <c:tx>
            <c:strRef>
              <c:f>'6 Public Non-Charter Urbanicity'!$H$10</c:f>
              <c:strCache>
                <c:ptCount val="1"/>
                <c:pt idx="0">
                  <c:v>In-state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AB8-427B-941F-6F783D87896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'6 Public Non-Charter Urbanicity'!$U$124:$U$131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0.35528653005461358</c:v>
                </c:pt>
                <c:pt idx="7" formatCode="0.0%">
                  <c:v>0.35191000996725047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AB8-427B-941F-6F783D878960}"/>
            </c:ext>
          </c:extLst>
        </c:ser>
        <c:ser>
          <c:idx val="5"/>
          <c:order val="5"/>
          <c:tx>
            <c:strRef>
              <c:f>'6 Public Non-Charter Urbanicity'!$I$10</c:f>
              <c:strCache>
                <c:ptCount val="1"/>
                <c:pt idx="0">
                  <c:v>Out-of-state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AB8-427B-941F-6F783D87896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'6 Public Non-Charter Urbanicity'!$V$124:$V$131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0.11846501634067189</c:v>
                </c:pt>
                <c:pt idx="7" formatCode="0.0%">
                  <c:v>0.11760102520290475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AB8-427B-941F-6F783D878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00272368"/>
        <c:axId val="500269624"/>
      </c:barChart>
      <c:catAx>
        <c:axId val="500272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500269624"/>
        <c:crosses val="autoZero"/>
        <c:auto val="1"/>
        <c:lblAlgn val="ctr"/>
        <c:lblOffset val="100"/>
        <c:noMultiLvlLbl val="0"/>
      </c:catAx>
      <c:valAx>
        <c:axId val="50026962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crossAx val="50027236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10395387323573"/>
          <c:y val="3.9007529729678886E-2"/>
          <c:w val="0.86844490824189147"/>
          <c:h val="0.8024169386550283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'6 Public Non-Charter Urbanicity'!$Q$10</c:f>
              <c:strCache>
                <c:ptCount val="1"/>
                <c:pt idx="0">
                  <c:v>Public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'6 Public Non-Charter Urbanicity'!$AD$11:$AD$12</c:f>
              <c:numCache>
                <c:formatCode>0.0%</c:formatCode>
                <c:ptCount val="2"/>
                <c:pt idx="0">
                  <c:v>0.45320605078713233</c:v>
                </c:pt>
                <c:pt idx="1">
                  <c:v>0.45903144443723909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C3-4541-B72E-E0389EEC62BF}"/>
            </c:ext>
          </c:extLst>
        </c:ser>
        <c:ser>
          <c:idx val="3"/>
          <c:order val="1"/>
          <c:tx>
            <c:strRef>
              <c:f>'6 Public Non-Charter Urbanicity'!$E$10</c:f>
              <c:strCache>
                <c:ptCount val="1"/>
                <c:pt idx="0">
                  <c:v>Private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'6 Public Non-Charter Urbanicity'!$AE$11:$AE$12</c:f>
              <c:numCache>
                <c:formatCode>0.0%</c:formatCode>
                <c:ptCount val="2"/>
                <c:pt idx="0">
                  <c:v>8.5479348586716256E-2</c:v>
                </c:pt>
                <c:pt idx="1">
                  <c:v>8.8901441331362865E-2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C3-4541-B72E-E0389EEC62BF}"/>
            </c:ext>
          </c:extLst>
        </c:ser>
        <c:ser>
          <c:idx val="0"/>
          <c:order val="2"/>
          <c:tx>
            <c:strRef>
              <c:f>'6 Public Non-Charter Urbanicity'!$F$10</c:f>
              <c:strCache>
                <c:ptCount val="1"/>
                <c:pt idx="0">
                  <c:v>Two-year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C3-4541-B72E-E0389EEC62BF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'6 Public Non-Charter Urbanicity'!$AF$8:$AF$12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0.19714883711335626</c:v>
                </c:pt>
                <c:pt idx="4" formatCode="0.0%">
                  <c:v>0.18995334359523947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C3-4541-B72E-E0389EEC62BF}"/>
            </c:ext>
          </c:extLst>
        </c:ser>
        <c:ser>
          <c:idx val="1"/>
          <c:order val="3"/>
          <c:tx>
            <c:strRef>
              <c:f>'6 Public Non-Charter Urbanicity'!$G$10</c:f>
              <c:strCache>
                <c:ptCount val="1"/>
                <c:pt idx="0">
                  <c:v>Four-year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C3-4541-B72E-E0389EEC62BF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'6 Public Non-Charter Urbanicity'!$AG$8:$AG$12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0.34153656226049234</c:v>
                </c:pt>
                <c:pt idx="4" formatCode="0.0%">
                  <c:v>0.35797954217336253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C3-4541-B72E-E0389EEC62BF}"/>
            </c:ext>
          </c:extLst>
        </c:ser>
        <c:ser>
          <c:idx val="4"/>
          <c:order val="4"/>
          <c:tx>
            <c:strRef>
              <c:f>'6 Public Non-Charter Urbanicity'!$H$10</c:f>
              <c:strCache>
                <c:ptCount val="1"/>
                <c:pt idx="0">
                  <c:v>In-state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CC3-4541-B72E-E0389EEC62BF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'6 Public Non-Charter Urbanicity'!$AH$5:$AH$12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0.44594802594101229</c:v>
                </c:pt>
                <c:pt idx="7" formatCode="0.0%">
                  <c:v>0.4552395449720642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CC3-4541-B72E-E0389EEC62BF}"/>
            </c:ext>
          </c:extLst>
        </c:ser>
        <c:ser>
          <c:idx val="5"/>
          <c:order val="5"/>
          <c:tx>
            <c:strRef>
              <c:f>'6 Public Non-Charter Urbanicity'!$I$10</c:f>
              <c:strCache>
                <c:ptCount val="1"/>
                <c:pt idx="0">
                  <c:v>Out-of-state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CC3-4541-B72E-E0389EEC62BF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'6 Public Non-Charter Urbanicity'!$AI$5:$AI$12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9.2737373432836293E-2</c:v>
                </c:pt>
                <c:pt idx="7" formatCode="0.0%">
                  <c:v>9.2693340796537807E-2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CC3-4541-B72E-E0389EEC62B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5"/>
        <c:overlap val="100"/>
        <c:axId val="500272368"/>
        <c:axId val="500269624"/>
      </c:barChart>
      <c:catAx>
        <c:axId val="500272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500269624"/>
        <c:crosses val="autoZero"/>
        <c:auto val="1"/>
        <c:lblAlgn val="ctr"/>
        <c:lblOffset val="100"/>
        <c:noMultiLvlLbl val="0"/>
      </c:catAx>
      <c:valAx>
        <c:axId val="50026962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crossAx val="50027236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10395387323573"/>
          <c:y val="3.9007529729678886E-2"/>
          <c:w val="0.86844490824189147"/>
          <c:h val="0.8024169386550283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'6 Public Non-Charter Urbanicity'!$D$10</c:f>
              <c:strCache>
                <c:ptCount val="1"/>
                <c:pt idx="0">
                  <c:v>Public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'6 Public Non-Charter Urbanicity'!$AD$70:$AD$71</c:f>
              <c:numCache>
                <c:formatCode>0.0%</c:formatCode>
                <c:ptCount val="2"/>
                <c:pt idx="0">
                  <c:v>0.50802163136547995</c:v>
                </c:pt>
                <c:pt idx="1">
                  <c:v>0.50664603432758049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44-4E90-97C9-3DE67D71A089}"/>
            </c:ext>
          </c:extLst>
        </c:ser>
        <c:ser>
          <c:idx val="3"/>
          <c:order val="1"/>
          <c:tx>
            <c:strRef>
              <c:f>'6 Public Non-Charter Urbanicity'!$E$10</c:f>
              <c:strCache>
                <c:ptCount val="1"/>
                <c:pt idx="0">
                  <c:v>Private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'6 Public Non-Charter Urbanicity'!$AE$70:$AE$71</c:f>
              <c:numCache>
                <c:formatCode>0.0%</c:formatCode>
                <c:ptCount val="2"/>
                <c:pt idx="0">
                  <c:v>9.6575033799008558E-2</c:v>
                </c:pt>
                <c:pt idx="1">
                  <c:v>9.8558367939871466E-2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44-4E90-97C9-3DE67D71A089}"/>
            </c:ext>
          </c:extLst>
        </c:ser>
        <c:ser>
          <c:idx val="0"/>
          <c:order val="2"/>
          <c:tx>
            <c:strRef>
              <c:f>'6 Public Non-Charter Urbanicity'!$F$10</c:f>
              <c:strCache>
                <c:ptCount val="1"/>
                <c:pt idx="0">
                  <c:v>Two-year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44-4E90-97C9-3DE67D71A089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'6 Public Non-Charter Urbanicity'!$AF$67:$AF$71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0.24630386474180666</c:v>
                </c:pt>
                <c:pt idx="4" formatCode="0.0%">
                  <c:v>0.2375977009679304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44-4E90-97C9-3DE67D71A089}"/>
            </c:ext>
          </c:extLst>
        </c:ser>
        <c:ser>
          <c:idx val="1"/>
          <c:order val="3"/>
          <c:tx>
            <c:strRef>
              <c:f>'6 Public Non-Charter Urbanicity'!$G$10</c:f>
              <c:strCache>
                <c:ptCount val="1"/>
                <c:pt idx="0">
                  <c:v>Four-year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44-4E90-97C9-3DE67D71A089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'6 Public Non-Charter Urbanicity'!$AG$67:$AG$71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0.35828347655825082</c:v>
                </c:pt>
                <c:pt idx="4" formatCode="0.0%">
                  <c:v>0.3675924902496408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44-4E90-97C9-3DE67D71A089}"/>
            </c:ext>
          </c:extLst>
        </c:ser>
        <c:ser>
          <c:idx val="4"/>
          <c:order val="4"/>
          <c:tx>
            <c:strRef>
              <c:f>'6 Public Non-Charter Urbanicity'!$H$10</c:f>
              <c:strCache>
                <c:ptCount val="1"/>
                <c:pt idx="0">
                  <c:v>In-state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344-4E90-97C9-3DE67D71A089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'6 Public Non-Charter Urbanicity'!$AH$64:$AH$71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0.50557877888455505</c:v>
                </c:pt>
                <c:pt idx="7" formatCode="0.0%">
                  <c:v>0.49781623533498603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344-4E90-97C9-3DE67D71A089}"/>
            </c:ext>
          </c:extLst>
        </c:ser>
        <c:ser>
          <c:idx val="5"/>
          <c:order val="5"/>
          <c:tx>
            <c:strRef>
              <c:f>'6 Public Non-Charter Urbanicity'!$I$10</c:f>
              <c:strCache>
                <c:ptCount val="1"/>
                <c:pt idx="0">
                  <c:v>Out-of-state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344-4E90-97C9-3DE67D71A089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'6 Public Non-Charter Urbanicity'!$AI$64:$AI$71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9.9017886279933492E-2</c:v>
                </c:pt>
                <c:pt idx="7" formatCode="0.0%">
                  <c:v>0.10738816693246593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344-4E90-97C9-3DE67D71A08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5"/>
        <c:overlap val="100"/>
        <c:axId val="500272368"/>
        <c:axId val="500269624"/>
      </c:barChart>
      <c:catAx>
        <c:axId val="500272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500269624"/>
        <c:crosses val="autoZero"/>
        <c:auto val="1"/>
        <c:lblAlgn val="ctr"/>
        <c:lblOffset val="100"/>
        <c:noMultiLvlLbl val="0"/>
      </c:catAx>
      <c:valAx>
        <c:axId val="50026962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crossAx val="50027236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 Public Non-Charter Urbanicity'!$A$100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 Public Non-Charter Urbanicity'!$P$99:$V$99</c:f>
              <c:strCache>
                <c:ptCount val="7"/>
                <c:pt idx="0">
                  <c:v>Total</c:v>
                </c:pt>
                <c:pt idx="1">
                  <c:v>Public</c:v>
                </c:pt>
                <c:pt idx="2">
                  <c:v>Private</c:v>
                </c:pt>
                <c:pt idx="3">
                  <c:v>Two-year</c:v>
                </c:pt>
                <c:pt idx="4">
                  <c:v>Four-year</c:v>
                </c:pt>
                <c:pt idx="5">
                  <c:v>In-state</c:v>
                </c:pt>
                <c:pt idx="6">
                  <c:v>Out-of-state</c:v>
                </c:pt>
              </c:strCache>
            </c:strRef>
          </c:cat>
          <c:val>
            <c:numRef>
              <c:f>'6 Public Non-Charter Urbanicity'!$AC$100:$AI$100</c:f>
              <c:numCache>
                <c:formatCode>0.0%</c:formatCode>
                <c:ptCount val="7"/>
                <c:pt idx="0">
                  <c:v>0.78824675893482832</c:v>
                </c:pt>
                <c:pt idx="1">
                  <c:v>0.7735866912062237</c:v>
                </c:pt>
                <c:pt idx="2">
                  <c:v>0.86456139158795953</c:v>
                </c:pt>
                <c:pt idx="3">
                  <c:v>0.66637385927118842</c:v>
                </c:pt>
                <c:pt idx="4">
                  <c:v>0.86704436361669623</c:v>
                </c:pt>
                <c:pt idx="5">
                  <c:v>0.77576103438717781</c:v>
                </c:pt>
                <c:pt idx="6">
                  <c:v>0.85352131885367477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37-4870-BAC8-E49E54581FEF}"/>
            </c:ext>
          </c:extLst>
        </c:ser>
        <c:ser>
          <c:idx val="1"/>
          <c:order val="1"/>
          <c:tx>
            <c:strRef>
              <c:f>'6 Public Non-Charter Urbanicity'!$A$101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 Public Non-Charter Urbanicity'!$P$99:$V$99</c:f>
              <c:strCache>
                <c:ptCount val="7"/>
                <c:pt idx="0">
                  <c:v>Total</c:v>
                </c:pt>
                <c:pt idx="1">
                  <c:v>Public</c:v>
                </c:pt>
                <c:pt idx="2">
                  <c:v>Private</c:v>
                </c:pt>
                <c:pt idx="3">
                  <c:v>Two-year</c:v>
                </c:pt>
                <c:pt idx="4">
                  <c:v>Four-year</c:v>
                </c:pt>
                <c:pt idx="5">
                  <c:v>In-state</c:v>
                </c:pt>
                <c:pt idx="6">
                  <c:v>Out-of-state</c:v>
                </c:pt>
              </c:strCache>
            </c:strRef>
          </c:cat>
          <c:val>
            <c:numRef>
              <c:f>'6 Public Non-Charter Urbanicity'!$AC$101:$AI$101</c:f>
              <c:numCache>
                <c:formatCode>0.0%</c:formatCode>
                <c:ptCount val="7"/>
                <c:pt idx="0">
                  <c:v>0.81310190994005294</c:v>
                </c:pt>
                <c:pt idx="1">
                  <c:v>0.79994789265887734</c:v>
                </c:pt>
                <c:pt idx="2">
                  <c:v>0.879547141796585</c:v>
                </c:pt>
                <c:pt idx="3">
                  <c:v>0.69824130879345603</c:v>
                </c:pt>
                <c:pt idx="4">
                  <c:v>0.88203437615706148</c:v>
                </c:pt>
                <c:pt idx="5">
                  <c:v>0.80037472436790624</c:v>
                </c:pt>
                <c:pt idx="6">
                  <c:v>0.87286789696026423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37-4870-BAC8-E49E54581F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22"/>
        <c:overlap val="-27"/>
        <c:axId val="450104607"/>
        <c:axId val="450102207"/>
      </c:barChart>
      <c:catAx>
        <c:axId val="450104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102207"/>
        <c:crosses val="autoZero"/>
        <c:auto val="1"/>
        <c:lblAlgn val="ctr"/>
        <c:lblOffset val="100"/>
        <c:noMultiLvlLbl val="0"/>
      </c:catAx>
      <c:valAx>
        <c:axId val="450102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104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10395387323573"/>
          <c:y val="3.9007529729678886E-2"/>
          <c:w val="0.86844490824189147"/>
          <c:h val="0.8024169386550283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'6 Public Non-Charter Urbanicity'!$Q$10</c:f>
              <c:strCache>
                <c:ptCount val="1"/>
                <c:pt idx="0">
                  <c:v>Public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'6 Public Non-Charter Urbanicity'!$AD$40:$AD$41</c:f>
              <c:numCache>
                <c:formatCode>0.0%</c:formatCode>
                <c:ptCount val="2"/>
                <c:pt idx="0">
                  <c:v>0.4727258372676888</c:v>
                </c:pt>
                <c:pt idx="1">
                  <c:v>0.48007534128108742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D2-4B91-BD54-EA10C70A126A}"/>
            </c:ext>
          </c:extLst>
        </c:ser>
        <c:ser>
          <c:idx val="3"/>
          <c:order val="1"/>
          <c:tx>
            <c:strRef>
              <c:f>'6 Public Non-Charter Urbanicity'!$E$10</c:f>
              <c:strCache>
                <c:ptCount val="1"/>
                <c:pt idx="0">
                  <c:v>Private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'6 Public Non-Charter Urbanicity'!$AE$40:$AE$41</c:f>
              <c:numCache>
                <c:formatCode>0.0%</c:formatCode>
                <c:ptCount val="2"/>
                <c:pt idx="0">
                  <c:v>9.3584500481596694E-2</c:v>
                </c:pt>
                <c:pt idx="1">
                  <c:v>9.0104871635784886E-2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D2-4B91-BD54-EA10C70A126A}"/>
            </c:ext>
          </c:extLst>
        </c:ser>
        <c:ser>
          <c:idx val="0"/>
          <c:order val="2"/>
          <c:tx>
            <c:strRef>
              <c:f>'6 Public Non-Charter Urbanicity'!$F$10</c:f>
              <c:strCache>
                <c:ptCount val="1"/>
                <c:pt idx="0">
                  <c:v>Two-year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D2-4B91-BD54-EA10C70A126A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'6 Public Non-Charter Urbanicity'!$AF$37:$AF$41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0.21233677030206377</c:v>
                </c:pt>
                <c:pt idx="4" formatCode="0.0%">
                  <c:v>0.21470836989585829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D2-4B91-BD54-EA10C70A126A}"/>
            </c:ext>
          </c:extLst>
        </c:ser>
        <c:ser>
          <c:idx val="1"/>
          <c:order val="3"/>
          <c:tx>
            <c:strRef>
              <c:f>'6 Public Non-Charter Urbanicity'!$G$10</c:f>
              <c:strCache>
                <c:ptCount val="1"/>
                <c:pt idx="0">
                  <c:v>Four-year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D2-4B91-BD54-EA10C70A126A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'6 Public Non-Charter Urbanicity'!$AG$37:$AG$41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0.35396093540288326</c:v>
                </c:pt>
                <c:pt idx="4" formatCode="0.0%">
                  <c:v>0.35547184302101398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D2-4B91-BD54-EA10C70A126A}"/>
            </c:ext>
          </c:extLst>
        </c:ser>
        <c:ser>
          <c:idx val="4"/>
          <c:order val="4"/>
          <c:tx>
            <c:strRef>
              <c:f>'6 Public Non-Charter Urbanicity'!$H$10</c:f>
              <c:strCache>
                <c:ptCount val="1"/>
                <c:pt idx="0">
                  <c:v>In-state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'6 Public Non-Charter Urbanicity'!$AH$34:$AH$41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0.46688667477222845</c:v>
                </c:pt>
                <c:pt idx="7" formatCode="0.0%">
                  <c:v>0.47177796219924184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6D2-4B91-BD54-EA10C70A126A}"/>
            </c:ext>
          </c:extLst>
        </c:ser>
        <c:ser>
          <c:idx val="5"/>
          <c:order val="5"/>
          <c:tx>
            <c:strRef>
              <c:f>'6 Public Non-Charter Urbanicity'!$I$10</c:f>
              <c:strCache>
                <c:ptCount val="1"/>
                <c:pt idx="0">
                  <c:v>Out-of-state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6D2-4B91-BD54-EA10C70A126A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'6 Public Non-Charter Urbanicity'!$AI$34:$AI$41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9.9423662977057056E-2</c:v>
                </c:pt>
                <c:pt idx="7" formatCode="0.0%">
                  <c:v>9.8402250717630466E-2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6D2-4B91-BD54-EA10C70A126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5"/>
        <c:overlap val="100"/>
        <c:axId val="500272368"/>
        <c:axId val="500269624"/>
      </c:barChart>
      <c:catAx>
        <c:axId val="500272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500269624"/>
        <c:crosses val="autoZero"/>
        <c:auto val="1"/>
        <c:lblAlgn val="ctr"/>
        <c:lblOffset val="100"/>
        <c:noMultiLvlLbl val="0"/>
      </c:catAx>
      <c:valAx>
        <c:axId val="50026962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crossAx val="50027236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10395387323573"/>
          <c:y val="3.9007529729678886E-2"/>
          <c:w val="0.86844490824189147"/>
          <c:h val="0.8024169386550283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'6 Public Non-Charter Urbanicity'!$D$10</c:f>
              <c:strCache>
                <c:ptCount val="1"/>
                <c:pt idx="0">
                  <c:v>Public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'6 Public Non-Charter Urbanicity'!$AD$130:$AD$131</c:f>
              <c:numCache>
                <c:formatCode>0.0%</c:formatCode>
                <c:ptCount val="2"/>
                <c:pt idx="0">
                  <c:v>0.31446011221915254</c:v>
                </c:pt>
                <c:pt idx="1">
                  <c:v>0.30941016771029467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3D-4BF7-BEEE-803D0321C525}"/>
            </c:ext>
          </c:extLst>
        </c:ser>
        <c:ser>
          <c:idx val="3"/>
          <c:order val="1"/>
          <c:tx>
            <c:strRef>
              <c:f>'6 Public Non-Charter Urbanicity'!$E$10</c:f>
              <c:strCache>
                <c:ptCount val="1"/>
                <c:pt idx="0">
                  <c:v>Private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'6 Public Non-Charter Urbanicity'!$AE$130:$AE$131</c:f>
              <c:numCache>
                <c:formatCode>0.0%</c:formatCode>
                <c:ptCount val="2"/>
                <c:pt idx="0">
                  <c:v>7.7675303912607366E-2</c:v>
                </c:pt>
                <c:pt idx="1">
                  <c:v>7.6431297388515937E-2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3D-4BF7-BEEE-803D0321C525}"/>
            </c:ext>
          </c:extLst>
        </c:ser>
        <c:ser>
          <c:idx val="0"/>
          <c:order val="2"/>
          <c:tx>
            <c:strRef>
              <c:f>'6 Public Non-Charter Urbanicity'!$F$10</c:f>
              <c:strCache>
                <c:ptCount val="1"/>
                <c:pt idx="0">
                  <c:v>Two-year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3D-4BF7-BEEE-803D0321C525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'6 Public Non-Charter Urbanicity'!$AF$127:$AF$131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0.11193843351922413</c:v>
                </c:pt>
                <c:pt idx="4" formatCode="0.0%">
                  <c:v>0.10905379596538681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3D-4BF7-BEEE-803D0321C525}"/>
            </c:ext>
          </c:extLst>
        </c:ser>
        <c:ser>
          <c:idx val="1"/>
          <c:order val="3"/>
          <c:tx>
            <c:strRef>
              <c:f>'6 Public Non-Charter Urbanicity'!$G$10</c:f>
              <c:strCache>
                <c:ptCount val="1"/>
                <c:pt idx="0">
                  <c:v>Four-year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3D-4BF7-BEEE-803D0321C525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'6 Public Non-Charter Urbanicity'!$AG$127:$AG$131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0.28015761347725321</c:v>
                </c:pt>
                <c:pt idx="4" formatCode="0.0%">
                  <c:v>0.27675398560365938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3D-4BF7-BEEE-803D0321C525}"/>
            </c:ext>
          </c:extLst>
        </c:ser>
        <c:ser>
          <c:idx val="4"/>
          <c:order val="4"/>
          <c:tx>
            <c:strRef>
              <c:f>'6 Public Non-Charter Urbanicity'!$H$10</c:f>
              <c:strCache>
                <c:ptCount val="1"/>
                <c:pt idx="0">
                  <c:v>In-state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F3D-4BF7-BEEE-803D0321C525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'6 Public Non-Charter Urbanicity'!$AH$124:$AH$131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0.31993926882957274</c:v>
                </c:pt>
                <c:pt idx="7" formatCode="0.0%">
                  <c:v>0.31457722117616149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F3D-4BF7-BEEE-803D0321C525}"/>
            </c:ext>
          </c:extLst>
        </c:ser>
        <c:ser>
          <c:idx val="5"/>
          <c:order val="5"/>
          <c:tx>
            <c:strRef>
              <c:f>'6 Public Non-Charter Urbanicity'!$I$10</c:f>
              <c:strCache>
                <c:ptCount val="1"/>
                <c:pt idx="0">
                  <c:v>Out-of-state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F3D-4BF7-BEEE-803D0321C525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'6 Public Non-Charter Urbanicity'!$A$130:$A$137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'6 Public Non-Charter Urbanicity'!$AI$124:$AI$131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7.2196147302187208E-2</c:v>
                </c:pt>
                <c:pt idx="7" formatCode="0.0%">
                  <c:v>7.1264243922649143E-2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F3D-4BF7-BEEE-803D0321C52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5"/>
        <c:overlap val="100"/>
        <c:axId val="500272368"/>
        <c:axId val="500269624"/>
      </c:barChart>
      <c:catAx>
        <c:axId val="500272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500269624"/>
        <c:crosses val="autoZero"/>
        <c:auto val="1"/>
        <c:lblAlgn val="ctr"/>
        <c:lblOffset val="100"/>
        <c:noMultiLvlLbl val="0"/>
      </c:catAx>
      <c:valAx>
        <c:axId val="50026962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crossAx val="50027236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10395387323573"/>
          <c:y val="3.9007529729678886E-2"/>
          <c:w val="0.86844490824189147"/>
          <c:h val="0.8024169386550283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'7 Public Charter Schools'!$D$10</c:f>
              <c:strCache>
                <c:ptCount val="1"/>
                <c:pt idx="0">
                  <c:v>Public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'7 Public Charter Schools'!$A$11:$A$18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'7 Public Charter Schools'!$D$11:$D$12</c:f>
              <c:numCache>
                <c:formatCode>0.0%</c:formatCode>
                <c:ptCount val="2"/>
                <c:pt idx="0">
                  <c:v>0.39142331828500893</c:v>
                </c:pt>
                <c:pt idx="1">
                  <c:v>0.40600320616843205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A2-492D-B419-4FF00D8CE0F8}"/>
            </c:ext>
          </c:extLst>
        </c:ser>
        <c:ser>
          <c:idx val="3"/>
          <c:order val="1"/>
          <c:tx>
            <c:strRef>
              <c:f>'7 Public Charter Schools'!$E$10</c:f>
              <c:strCache>
                <c:ptCount val="1"/>
                <c:pt idx="0">
                  <c:v>Private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'7 Public Charter Schools'!$A$11:$A$18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'7 Public Charter Schools'!$E$11:$E$12</c:f>
              <c:numCache>
                <c:formatCode>0.0%</c:formatCode>
                <c:ptCount val="2"/>
                <c:pt idx="0">
                  <c:v>9.4830339493651217E-2</c:v>
                </c:pt>
                <c:pt idx="1">
                  <c:v>0.10539049361225032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A2-492D-B419-4FF00D8CE0F8}"/>
            </c:ext>
          </c:extLst>
        </c:ser>
        <c:ser>
          <c:idx val="0"/>
          <c:order val="2"/>
          <c:tx>
            <c:strRef>
              <c:f>'7 Public Charter Schools'!$F$10</c:f>
              <c:strCache>
                <c:ptCount val="1"/>
                <c:pt idx="0">
                  <c:v>Two-year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A2-492D-B419-4FF00D8CE0F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'7 Public Charter Schools'!$A$11:$A$18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'7 Public Charter Schools'!$F$8:$F$12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0.16118395497587376</c:v>
                </c:pt>
                <c:pt idx="4" formatCode="0.0%">
                  <c:v>0.15619744490012688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A2-492D-B419-4FF00D8CE0F8}"/>
            </c:ext>
          </c:extLst>
        </c:ser>
        <c:ser>
          <c:idx val="1"/>
          <c:order val="3"/>
          <c:tx>
            <c:strRef>
              <c:f>'7 Public Charter Schools'!$G$10</c:f>
              <c:strCache>
                <c:ptCount val="1"/>
                <c:pt idx="0">
                  <c:v>Four-year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A2-492D-B419-4FF00D8CE0F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'7 Public Charter Schools'!$A$11:$A$18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'7 Public Charter Schools'!$G$8:$G$12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0.32506970280278641</c:v>
                </c:pt>
                <c:pt idx="4" formatCode="0.0%">
                  <c:v>0.35519625488055545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A2-492D-B419-4FF00D8CE0F8}"/>
            </c:ext>
          </c:extLst>
        </c:ser>
        <c:ser>
          <c:idx val="4"/>
          <c:order val="4"/>
          <c:tx>
            <c:strRef>
              <c:f>'7 Public Charter Schools'!$H$10</c:f>
              <c:strCache>
                <c:ptCount val="1"/>
                <c:pt idx="0">
                  <c:v>In-state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A2-492D-B419-4FF00D8CE0F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'7 Public Charter Schools'!$A$11:$A$18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'7 Public Charter Schools'!$H$5:$H$12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0.40676225086103462</c:v>
                </c:pt>
                <c:pt idx="7" formatCode="0.0%">
                  <c:v>0.42985277195881155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A2-492D-B419-4FF00D8CE0F8}"/>
            </c:ext>
          </c:extLst>
        </c:ser>
        <c:ser>
          <c:idx val="5"/>
          <c:order val="5"/>
          <c:tx>
            <c:strRef>
              <c:f>'7 Public Charter Schools'!$I$10</c:f>
              <c:strCache>
                <c:ptCount val="1"/>
                <c:pt idx="0">
                  <c:v>Out-of-state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2A2-492D-B419-4FF00D8CE0F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'7 Public Charter Schools'!$A$11:$A$18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'7 Public Charter Schools'!$I$5:$I$12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7.9491406917625532E-2</c:v>
                </c:pt>
                <c:pt idx="7" formatCode="0.0%">
                  <c:v>8.1540927821870793E-2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2A2-492D-B419-4FF00D8CE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00272368"/>
        <c:axId val="500269624"/>
      </c:barChart>
      <c:catAx>
        <c:axId val="500272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500269624"/>
        <c:crosses val="autoZero"/>
        <c:auto val="1"/>
        <c:lblAlgn val="ctr"/>
        <c:lblOffset val="100"/>
        <c:noMultiLvlLbl val="0"/>
      </c:catAx>
      <c:valAx>
        <c:axId val="50026962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crossAx val="50027236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10395387323573"/>
          <c:y val="3.9007529729678886E-2"/>
          <c:w val="0.86844490824189147"/>
          <c:h val="0.8024169386550283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'7 Public Charter Schools'!$D$10</c:f>
              <c:strCache>
                <c:ptCount val="1"/>
                <c:pt idx="0">
                  <c:v>Public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'7 Public Charter Schools'!$A$40:$A$47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'7 Public Charter Schools'!$D$40:$D$41</c:f>
              <c:numCache>
                <c:formatCode>0.0%</c:formatCode>
                <c:ptCount val="2"/>
                <c:pt idx="0">
                  <c:v>0.41028068305056709</c:v>
                </c:pt>
                <c:pt idx="1">
                  <c:v>0.42306795915372597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09-4085-B0C2-EC4107A08BA0}"/>
            </c:ext>
          </c:extLst>
        </c:ser>
        <c:ser>
          <c:idx val="3"/>
          <c:order val="1"/>
          <c:tx>
            <c:strRef>
              <c:f>'7 Public Charter Schools'!$E$10</c:f>
              <c:strCache>
                <c:ptCount val="1"/>
                <c:pt idx="0">
                  <c:v>Private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09-4085-B0C2-EC4107A08BA0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09-4085-B0C2-EC4107A08BA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'7 Public Charter Schools'!$A$40:$A$47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'7 Public Charter Schools'!$E$40:$E$41</c:f>
              <c:numCache>
                <c:formatCode>0.0%</c:formatCode>
                <c:ptCount val="2"/>
                <c:pt idx="0">
                  <c:v>0.10260463577376247</c:v>
                </c:pt>
                <c:pt idx="1">
                  <c:v>0.10171861647489404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09-4085-B0C2-EC4107A08BA0}"/>
            </c:ext>
          </c:extLst>
        </c:ser>
        <c:ser>
          <c:idx val="0"/>
          <c:order val="2"/>
          <c:tx>
            <c:strRef>
              <c:f>'7 Public Charter Schools'!$F$10</c:f>
              <c:strCache>
                <c:ptCount val="1"/>
                <c:pt idx="0">
                  <c:v>Two-year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09-4085-B0C2-EC4107A08BA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'7 Public Charter Schools'!$A$40:$A$47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'7 Public Charter Schools'!$F$37:$F$41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0.17788541073102587</c:v>
                </c:pt>
                <c:pt idx="4" formatCode="0.0%">
                  <c:v>0.18343706031126725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09-4085-B0C2-EC4107A08BA0}"/>
            </c:ext>
          </c:extLst>
        </c:ser>
        <c:ser>
          <c:idx val="1"/>
          <c:order val="3"/>
          <c:tx>
            <c:strRef>
              <c:f>'7 Public Charter Schools'!$G$10</c:f>
              <c:strCache>
                <c:ptCount val="1"/>
                <c:pt idx="0">
                  <c:v>Four-year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B09-4085-B0C2-EC4107A08BA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'7 Public Charter Schools'!$A$40:$A$47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'7 Public Charter Schools'!$G$37:$G$41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0.33494476407551055</c:v>
                </c:pt>
                <c:pt idx="4" formatCode="0.0%">
                  <c:v>0.34134951531735275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09-4085-B0C2-EC4107A08BA0}"/>
            </c:ext>
          </c:extLst>
        </c:ser>
        <c:ser>
          <c:idx val="4"/>
          <c:order val="4"/>
          <c:tx>
            <c:strRef>
              <c:f>'7 Public Charter Schools'!$H$10</c:f>
              <c:strCache>
                <c:ptCount val="1"/>
                <c:pt idx="0">
                  <c:v>In-state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B09-4085-B0C2-EC4107A08BA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'7 Public Charter Schools'!$A$40:$A$47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'7 Public Charter Schools'!$H$34:$H$41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0.42415859419517304</c:v>
                </c:pt>
                <c:pt idx="7" formatCode="0.0%">
                  <c:v>0.43797529542766878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B09-4085-B0C2-EC4107A08BA0}"/>
            </c:ext>
          </c:extLst>
        </c:ser>
        <c:ser>
          <c:idx val="5"/>
          <c:order val="5"/>
          <c:tx>
            <c:strRef>
              <c:f>'7 Public Charter Schools'!$I$10</c:f>
              <c:strCache>
                <c:ptCount val="1"/>
                <c:pt idx="0">
                  <c:v>Out-of-state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B09-4085-B0C2-EC4107A08BA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'7 Public Charter Schools'!$A$40:$A$47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'7 Public Charter Schools'!$I$34:$I$41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8.8726724629156484E-2</c:v>
                </c:pt>
                <c:pt idx="7" formatCode="0.0%">
                  <c:v>8.6811280200951232E-2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B09-4085-B0C2-EC4107A08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00272368"/>
        <c:axId val="500269624"/>
      </c:barChart>
      <c:catAx>
        <c:axId val="500272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500269624"/>
        <c:crosses val="autoZero"/>
        <c:auto val="1"/>
        <c:lblAlgn val="ctr"/>
        <c:lblOffset val="100"/>
        <c:noMultiLvlLbl val="0"/>
      </c:catAx>
      <c:valAx>
        <c:axId val="50026962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crossAx val="50027236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10395387323573"/>
          <c:y val="3.9007529729678886E-2"/>
          <c:w val="0.86844490824189147"/>
          <c:h val="0.8024169386550283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'7 Public Charter Schools'!$D$10</c:f>
              <c:strCache>
                <c:ptCount val="1"/>
                <c:pt idx="0">
                  <c:v>Public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'7 Public Charter Schools'!$A$70:$A$77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'7 Public Charter Schools'!$D$70:$D$71</c:f>
              <c:numCache>
                <c:formatCode>0.0%</c:formatCode>
                <c:ptCount val="2"/>
                <c:pt idx="0">
                  <c:v>0.44796393030083503</c:v>
                </c:pt>
                <c:pt idx="1">
                  <c:v>0.45051743470029226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CA-4F35-9725-9BF8758B4AF7}"/>
            </c:ext>
          </c:extLst>
        </c:ser>
        <c:ser>
          <c:idx val="3"/>
          <c:order val="1"/>
          <c:tx>
            <c:strRef>
              <c:f>'7 Public Charter Schools'!$E$10</c:f>
              <c:strCache>
                <c:ptCount val="1"/>
                <c:pt idx="0">
                  <c:v>Private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'7 Public Charter Schools'!$A$70:$A$77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'7 Public Charter Schools'!$E$70:$E$71</c:f>
              <c:numCache>
                <c:formatCode>0.0%</c:formatCode>
                <c:ptCount val="2"/>
                <c:pt idx="0">
                  <c:v>0.10924810309985893</c:v>
                </c:pt>
                <c:pt idx="1">
                  <c:v>0.11030641692553719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CA-4F35-9725-9BF8758B4AF7}"/>
            </c:ext>
          </c:extLst>
        </c:ser>
        <c:ser>
          <c:idx val="0"/>
          <c:order val="2"/>
          <c:tx>
            <c:strRef>
              <c:f>'7 Public Charter Schools'!$F$10</c:f>
              <c:strCache>
                <c:ptCount val="1"/>
                <c:pt idx="0">
                  <c:v>Two-year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CA-4F35-9725-9BF8758B4A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'7 Public Charter Schools'!$A$70:$A$77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'7 Public Charter Schools'!$F$67:$F$71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0.21424486216494451</c:v>
                </c:pt>
                <c:pt idx="4" formatCode="0.0%">
                  <c:v>0.20867415399886036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CA-4F35-9725-9BF8758B4AF7}"/>
            </c:ext>
          </c:extLst>
        </c:ser>
        <c:ser>
          <c:idx val="1"/>
          <c:order val="3"/>
          <c:tx>
            <c:strRef>
              <c:f>'7 Public Charter Schools'!$G$10</c:f>
              <c:strCache>
                <c:ptCount val="1"/>
                <c:pt idx="0">
                  <c:v>Four-year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CA-4F35-9725-9BF8758B4A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'7 Public Charter Schools'!$A$70:$A$77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'7 Public Charter Schools'!$G$67:$G$71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0.3428813817821329</c:v>
                </c:pt>
                <c:pt idx="4" formatCode="0.0%">
                  <c:v>0.35209455360917596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CA-4F35-9725-9BF8758B4AF7}"/>
            </c:ext>
          </c:extLst>
        </c:ser>
        <c:ser>
          <c:idx val="4"/>
          <c:order val="4"/>
          <c:tx>
            <c:strRef>
              <c:f>'7 Public Charter Schools'!$H$10</c:f>
              <c:strCache>
                <c:ptCount val="1"/>
                <c:pt idx="0">
                  <c:v>In-state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CA-4F35-9725-9BF8758B4A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'7 Public Charter Schools'!$A$70:$A$77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'7 Public Charter Schools'!$H$64:$H$71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0.46597971556030043</c:v>
                </c:pt>
                <c:pt idx="7" formatCode="0.0%">
                  <c:v>0.46228149182949468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BCA-4F35-9725-9BF8758B4AF7}"/>
            </c:ext>
          </c:extLst>
        </c:ser>
        <c:ser>
          <c:idx val="5"/>
          <c:order val="5"/>
          <c:tx>
            <c:strRef>
              <c:f>'7 Public Charter Schools'!$I$10</c:f>
              <c:strCache>
                <c:ptCount val="1"/>
                <c:pt idx="0">
                  <c:v>Out-of-state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CA-4F35-9725-9BF8758B4A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'7 Public Charter Schools'!$A$70:$A$77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'7 Public Charter Schools'!$I$64:$I$71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9.1232317840393484E-2</c:v>
                </c:pt>
                <c:pt idx="7" formatCode="0.0%">
                  <c:v>9.8542359796334758E-2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BCA-4F35-9725-9BF8758B4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00272368"/>
        <c:axId val="500269624"/>
      </c:barChart>
      <c:catAx>
        <c:axId val="500272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500269624"/>
        <c:crosses val="autoZero"/>
        <c:auto val="1"/>
        <c:lblAlgn val="ctr"/>
        <c:lblOffset val="100"/>
        <c:noMultiLvlLbl val="0"/>
      </c:catAx>
      <c:valAx>
        <c:axId val="50026962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crossAx val="50027236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 Public Charter Schools'!$A$100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 Public Charter Schools'!$C$99:$I$99</c:f>
              <c:strCache>
                <c:ptCount val="7"/>
                <c:pt idx="0">
                  <c:v>Total</c:v>
                </c:pt>
                <c:pt idx="1">
                  <c:v>Public</c:v>
                </c:pt>
                <c:pt idx="2">
                  <c:v>Private</c:v>
                </c:pt>
                <c:pt idx="3">
                  <c:v>Two-year</c:v>
                </c:pt>
                <c:pt idx="4">
                  <c:v>Four-year</c:v>
                </c:pt>
                <c:pt idx="5">
                  <c:v>In-state</c:v>
                </c:pt>
                <c:pt idx="6">
                  <c:v>Out-of-state</c:v>
                </c:pt>
              </c:strCache>
            </c:strRef>
          </c:cat>
          <c:val>
            <c:numRef>
              <c:f>'7 Public Charter Schools'!$C$100:$I$100</c:f>
              <c:numCache>
                <c:formatCode>0.0%</c:formatCode>
                <c:ptCount val="7"/>
                <c:pt idx="0">
                  <c:v>0.75686836182362682</c:v>
                </c:pt>
                <c:pt idx="1">
                  <c:v>0.74613369194741352</c:v>
                </c:pt>
                <c:pt idx="2">
                  <c:v>0.8004138449962378</c:v>
                </c:pt>
                <c:pt idx="3">
                  <c:v>0.65507856629351957</c:v>
                </c:pt>
                <c:pt idx="4">
                  <c:v>0.81482453837402646</c:v>
                </c:pt>
                <c:pt idx="5">
                  <c:v>0.74708807603050065</c:v>
                </c:pt>
                <c:pt idx="6">
                  <c:v>0.80883043682480038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A7-40D4-A6B2-BD892FB3D10F}"/>
            </c:ext>
          </c:extLst>
        </c:ser>
        <c:ser>
          <c:idx val="1"/>
          <c:order val="1"/>
          <c:tx>
            <c:strRef>
              <c:f>'7 Public Charter Schools'!$A$101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 Public Charter Schools'!$C$99:$I$99</c:f>
              <c:strCache>
                <c:ptCount val="7"/>
                <c:pt idx="0">
                  <c:v>Total</c:v>
                </c:pt>
                <c:pt idx="1">
                  <c:v>Public</c:v>
                </c:pt>
                <c:pt idx="2">
                  <c:v>Private</c:v>
                </c:pt>
                <c:pt idx="3">
                  <c:v>Two-year</c:v>
                </c:pt>
                <c:pt idx="4">
                  <c:v>Four-year</c:v>
                </c:pt>
                <c:pt idx="5">
                  <c:v>In-state</c:v>
                </c:pt>
                <c:pt idx="6">
                  <c:v>Out-of-state</c:v>
                </c:pt>
              </c:strCache>
            </c:strRef>
          </c:cat>
          <c:val>
            <c:numRef>
              <c:f>'7 Public Charter Schools'!$C$101:$I$101</c:f>
              <c:numCache>
                <c:formatCode>0.0%</c:formatCode>
                <c:ptCount val="7"/>
                <c:pt idx="0">
                  <c:v>0.7836036197473345</c:v>
                </c:pt>
                <c:pt idx="1">
                  <c:v>0.7713312873815551</c:v>
                </c:pt>
                <c:pt idx="2">
                  <c:v>0.83267646005016127</c:v>
                </c:pt>
                <c:pt idx="3">
                  <c:v>0.67863601136657192</c:v>
                </c:pt>
                <c:pt idx="4">
                  <c:v>0.83947974975304573</c:v>
                </c:pt>
                <c:pt idx="5">
                  <c:v>0.77226928993954624</c:v>
                </c:pt>
                <c:pt idx="6">
                  <c:v>0.83778744561839646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A7-40D4-A6B2-BD892FB3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-27"/>
        <c:axId val="450104607"/>
        <c:axId val="450102207"/>
      </c:barChart>
      <c:catAx>
        <c:axId val="450104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102207"/>
        <c:crosses val="autoZero"/>
        <c:auto val="1"/>
        <c:lblAlgn val="ctr"/>
        <c:lblOffset val="100"/>
        <c:noMultiLvlLbl val="0"/>
      </c:catAx>
      <c:valAx>
        <c:axId val="450102207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104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10395387323573"/>
          <c:y val="3.9007529729678886E-2"/>
          <c:w val="0.86844490824189147"/>
          <c:h val="0.8024169386550283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'3 Public Non-Charter Poverty'!$D$10</c:f>
              <c:strCache>
                <c:ptCount val="1"/>
                <c:pt idx="0">
                  <c:v>Public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 Public Non-Charter Poverty'!$A$70:$A$77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'3 Public Non-Charter Poverty'!$D$70:$D$71</c:f>
              <c:numCache>
                <c:formatCode>0.0%</c:formatCode>
                <c:ptCount val="2"/>
                <c:pt idx="0">
                  <c:v>0.48271941049156381</c:v>
                </c:pt>
                <c:pt idx="1">
                  <c:v>0.49266468272327574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1-4DD6-9E6A-D401EE31F421}"/>
            </c:ext>
          </c:extLst>
        </c:ser>
        <c:ser>
          <c:idx val="3"/>
          <c:order val="1"/>
          <c:tx>
            <c:strRef>
              <c:f>'3 Public Non-Charter Poverty'!$E$10</c:f>
              <c:strCache>
                <c:ptCount val="1"/>
                <c:pt idx="0">
                  <c:v>Private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 Public Non-Charter Poverty'!$A$70:$A$77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'3 Public Non-Charter Poverty'!$E$70:$E$71</c:f>
              <c:numCache>
                <c:formatCode>0.0%</c:formatCode>
                <c:ptCount val="2"/>
                <c:pt idx="0">
                  <c:v>6.3715957639472368E-2</c:v>
                </c:pt>
                <c:pt idx="1">
                  <c:v>5.8375096635156394E-2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E1-4DD6-9E6A-D401EE31F421}"/>
            </c:ext>
          </c:extLst>
        </c:ser>
        <c:ser>
          <c:idx val="0"/>
          <c:order val="2"/>
          <c:tx>
            <c:strRef>
              <c:f>'3 Public Non-Charter Poverty'!$F$10</c:f>
              <c:strCache>
                <c:ptCount val="1"/>
                <c:pt idx="0">
                  <c:v>Two-year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1E1-4DD6-9E6A-D401EE31F42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 Public Non-Charter Poverty'!$A$70:$A$77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'3 Public Non-Charter Poverty'!$F$67:$F$71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0.27746026844960114</c:v>
                </c:pt>
                <c:pt idx="4" formatCode="0.0%">
                  <c:v>0.27527363792933618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E1-4DD6-9E6A-D401EE31F421}"/>
            </c:ext>
          </c:extLst>
        </c:ser>
        <c:ser>
          <c:idx val="1"/>
          <c:order val="3"/>
          <c:tx>
            <c:strRef>
              <c:f>'3 Public Non-Charter Poverty'!$G$10</c:f>
              <c:strCache>
                <c:ptCount val="1"/>
                <c:pt idx="0">
                  <c:v>Four-year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1E1-4DD6-9E6A-D401EE31F42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 Public Non-Charter Poverty'!$A$70:$A$77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'3 Public Non-Charter Poverty'!$G$67:$G$71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0.26882368484337471</c:v>
                </c:pt>
                <c:pt idx="4" formatCode="0.0%">
                  <c:v>0.27566465585944844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1E1-4DD6-9E6A-D401EE31F421}"/>
            </c:ext>
          </c:extLst>
        </c:ser>
        <c:ser>
          <c:idx val="4"/>
          <c:order val="4"/>
          <c:tx>
            <c:strRef>
              <c:f>'3 Public Non-Charter Poverty'!$H$10</c:f>
              <c:strCache>
                <c:ptCount val="1"/>
                <c:pt idx="0">
                  <c:v>In-state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1E1-4DD6-9E6A-D401EE31F42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 Public Non-Charter Poverty'!$A$70:$A$77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'3 Public Non-Charter Poverty'!$H$64:$H$71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0.49846061581305312</c:v>
                </c:pt>
                <c:pt idx="7" formatCode="0.0%">
                  <c:v>0.49875083203242765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1E1-4DD6-9E6A-D401EE31F421}"/>
            </c:ext>
          </c:extLst>
        </c:ser>
        <c:ser>
          <c:idx val="5"/>
          <c:order val="5"/>
          <c:tx>
            <c:strRef>
              <c:f>'3 Public Non-Charter Poverty'!$I$10</c:f>
              <c:strCache>
                <c:ptCount val="1"/>
                <c:pt idx="0">
                  <c:v>Out-of-state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1E1-4DD6-9E6A-D401EE31F42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 Public Non-Charter Poverty'!$A$70:$A$77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'3 Public Non-Charter Poverty'!$I$64:$I$71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4.7974752317983038E-2</c:v>
                </c:pt>
                <c:pt idx="7" formatCode="0.0%">
                  <c:v>5.2288947326004483E-2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1E1-4DD6-9E6A-D401EE31F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00272368"/>
        <c:axId val="500269624"/>
      </c:barChart>
      <c:catAx>
        <c:axId val="500272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500269624"/>
        <c:crosses val="autoZero"/>
        <c:auto val="1"/>
        <c:lblAlgn val="ctr"/>
        <c:lblOffset val="100"/>
        <c:noMultiLvlLbl val="0"/>
      </c:catAx>
      <c:valAx>
        <c:axId val="50026962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crossAx val="50027236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10395387323573"/>
          <c:y val="3.9007529729678886E-2"/>
          <c:w val="0.86844490824189147"/>
          <c:h val="0.8024169386550283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'7 Public Charter Schools'!$D$10</c:f>
              <c:strCache>
                <c:ptCount val="1"/>
                <c:pt idx="0">
                  <c:v>Public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'7 Public Charter Schools'!$A$130:$A$137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'7 Public Charter Schools'!$D$130:$D$131</c:f>
              <c:numCache>
                <c:formatCode>0.0%</c:formatCode>
                <c:ptCount val="2"/>
                <c:pt idx="0">
                  <c:v>0.22816214568729046</c:v>
                </c:pt>
                <c:pt idx="1">
                  <c:v>0.2319668230335169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EF-43BF-AEF9-0137E2971C14}"/>
            </c:ext>
          </c:extLst>
        </c:ser>
        <c:ser>
          <c:idx val="3"/>
          <c:order val="1"/>
          <c:tx>
            <c:strRef>
              <c:f>'7 Public Charter Schools'!$E$10</c:f>
              <c:strCache>
                <c:ptCount val="1"/>
                <c:pt idx="0">
                  <c:v>Private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'7 Public Charter Schools'!$A$130:$A$137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'7 Public Charter Schools'!$E$130:$E$131</c:f>
              <c:numCache>
                <c:formatCode>0.0%</c:formatCode>
                <c:ptCount val="2"/>
                <c:pt idx="0">
                  <c:v>7.140505943309966E-2</c:v>
                </c:pt>
                <c:pt idx="1">
                  <c:v>7.336777936410814E-2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EF-43BF-AEF9-0137E2971C14}"/>
            </c:ext>
          </c:extLst>
        </c:ser>
        <c:ser>
          <c:idx val="0"/>
          <c:order val="2"/>
          <c:tx>
            <c:strRef>
              <c:f>'7 Public Charter Schools'!$F$10</c:f>
              <c:strCache>
                <c:ptCount val="1"/>
                <c:pt idx="0">
                  <c:v>Two-year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EF-43BF-AEF9-0137E2971C1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'7 Public Charter Schools'!$A$130:$A$137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'7 Public Charter Schools'!$F$127:$F$131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7.6049984760743677E-2</c:v>
                </c:pt>
                <c:pt idx="4" formatCode="0.0%">
                  <c:v>7.7764180660366666E-2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EF-43BF-AEF9-0137E2971C14}"/>
            </c:ext>
          </c:extLst>
        </c:ser>
        <c:ser>
          <c:idx val="1"/>
          <c:order val="3"/>
          <c:tx>
            <c:strRef>
              <c:f>'7 Public Charter Schools'!$G$10</c:f>
              <c:strCache>
                <c:ptCount val="1"/>
                <c:pt idx="0">
                  <c:v>Four-year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EF-43BF-AEF9-0137E2971C1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'7 Public Charter Schools'!$A$130:$A$137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'7 Public Charter Schools'!$G$127:$G$131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0.2232733922584578</c:v>
                </c:pt>
                <c:pt idx="4" formatCode="0.0%">
                  <c:v>0.22738912683844359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EF-43BF-AEF9-0137E2971C14}"/>
            </c:ext>
          </c:extLst>
        </c:ser>
        <c:ser>
          <c:idx val="4"/>
          <c:order val="4"/>
          <c:tx>
            <c:strRef>
              <c:f>'7 Public Charter Schools'!$H$10</c:f>
              <c:strCache>
                <c:ptCount val="1"/>
                <c:pt idx="0">
                  <c:v>In-state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EF-43BF-AEF9-0137E2971C1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'7 Public Charter Schools'!$A$130:$A$137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'7 Public Charter Schools'!$H$124:$H$131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0.24071929289850655</c:v>
                </c:pt>
                <c:pt idx="7" formatCode="0.0%">
                  <c:v>0.24746753688218098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CEF-43BF-AEF9-0137E2971C14}"/>
            </c:ext>
          </c:extLst>
        </c:ser>
        <c:ser>
          <c:idx val="5"/>
          <c:order val="5"/>
          <c:tx>
            <c:strRef>
              <c:f>'7 Public Charter Schools'!$I$10</c:f>
              <c:strCache>
                <c:ptCount val="1"/>
                <c:pt idx="0">
                  <c:v>Out-of-state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CEF-43BF-AEF9-0137E2971C1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'7 Public Charter Schools'!$A$130:$A$137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'7 Public Charter Schools'!$I$124:$I$131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5.8847912221883569E-2</c:v>
                </c:pt>
                <c:pt idx="7" formatCode="0.0%">
                  <c:v>5.7867065515444058E-2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CEF-43BF-AEF9-0137E2971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00272368"/>
        <c:axId val="500269624"/>
      </c:barChart>
      <c:catAx>
        <c:axId val="500272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500269624"/>
        <c:crosses val="autoZero"/>
        <c:auto val="1"/>
        <c:lblAlgn val="ctr"/>
        <c:lblOffset val="100"/>
        <c:noMultiLvlLbl val="0"/>
      </c:catAx>
      <c:valAx>
        <c:axId val="50026962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crossAx val="50027236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10395387323573"/>
          <c:y val="3.9007529729678886E-2"/>
          <c:w val="0.86844490824189147"/>
          <c:h val="0.8024169386550283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'8 Private Schools'!$D$10</c:f>
              <c:strCache>
                <c:ptCount val="1"/>
                <c:pt idx="0">
                  <c:v>Public</c:v>
                </c:pt>
              </c:strCache>
            </c:strRef>
          </c:tx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21-4E59-B7F1-91D1259EE4F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'8 Private Schools'!$A$11:$A$18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'8 Private Schools'!$D$11:$D$12</c:f>
              <c:numCache>
                <c:formatCode>0.0%</c:formatCode>
                <c:ptCount val="2"/>
                <c:pt idx="0">
                  <c:v>0.49800796812749004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FD-44CA-8617-25D350F5E515}"/>
            </c:ext>
          </c:extLst>
        </c:ser>
        <c:ser>
          <c:idx val="3"/>
          <c:order val="1"/>
          <c:tx>
            <c:strRef>
              <c:f>'8 Private Schools'!$E$10</c:f>
              <c:strCache>
                <c:ptCount val="1"/>
                <c:pt idx="0">
                  <c:v>Private</c:v>
                </c:pt>
              </c:strCache>
            </c:strRef>
          </c:tx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21-4E59-B7F1-91D1259EE4F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'8 Private Schools'!$A$11:$A$18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'8 Private Schools'!$E$11:$E$12</c:f>
              <c:numCache>
                <c:formatCode>0.0%</c:formatCode>
                <c:ptCount val="2"/>
                <c:pt idx="0">
                  <c:v>0.32953898690950484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FD-44CA-8617-25D350F5E515}"/>
            </c:ext>
          </c:extLst>
        </c:ser>
        <c:ser>
          <c:idx val="0"/>
          <c:order val="2"/>
          <c:tx>
            <c:strRef>
              <c:f>'8 Private Schools'!$F$10</c:f>
              <c:strCache>
                <c:ptCount val="1"/>
                <c:pt idx="0">
                  <c:v>Two-year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FD-44CA-8617-25D350F5E51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21-4E59-B7F1-91D1259EE4F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'8 Private Schools'!$A$11:$A$18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'8 Private Schools'!$F$8:$F$12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8.4453395210367321E-2</c:v>
                </c:pt>
                <c:pt idx="4" formatCode="0.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FD-44CA-8617-25D350F5E515}"/>
            </c:ext>
          </c:extLst>
        </c:ser>
        <c:ser>
          <c:idx val="1"/>
          <c:order val="3"/>
          <c:tx>
            <c:strRef>
              <c:f>'8 Private Schools'!$G$10</c:f>
              <c:strCache>
                <c:ptCount val="1"/>
                <c:pt idx="0">
                  <c:v>Four-year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FD-44CA-8617-25D350F5E51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21-4E59-B7F1-91D1259EE4F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'8 Private Schools'!$A$11:$A$18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'8 Private Schools'!$G$8:$G$12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0.7430935598266275</c:v>
                </c:pt>
                <c:pt idx="4" formatCode="0.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FD-44CA-8617-25D350F5E515}"/>
            </c:ext>
          </c:extLst>
        </c:ser>
        <c:ser>
          <c:idx val="4"/>
          <c:order val="4"/>
          <c:tx>
            <c:strRef>
              <c:f>'8 Private Schools'!$H$10</c:f>
              <c:strCache>
                <c:ptCount val="1"/>
                <c:pt idx="0">
                  <c:v>In-state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FD-44CA-8617-25D350F5E51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21-4E59-B7F1-91D1259EE4F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'8 Private Schools'!$A$11:$A$18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'8 Private Schools'!$H$5:$H$12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0.47020708375290049</c:v>
                </c:pt>
                <c:pt idx="7" formatCode="0.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8FD-44CA-8617-25D350F5E515}"/>
            </c:ext>
          </c:extLst>
        </c:ser>
        <c:ser>
          <c:idx val="5"/>
          <c:order val="5"/>
          <c:tx>
            <c:strRef>
              <c:f>'8 Private Schools'!$I$10</c:f>
              <c:strCache>
                <c:ptCount val="1"/>
                <c:pt idx="0">
                  <c:v>Out-of-state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FD-44CA-8617-25D350F5E51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21-4E59-B7F1-91D1259EE4F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'8 Private Schools'!$A$11:$A$18</c:f>
              <c:numCache>
                <c:formatCode>0</c:formatCode>
                <c:ptCount val="8"/>
                <c:pt idx="0">
                  <c:v>2022</c:v>
                </c:pt>
                <c:pt idx="1">
                  <c:v>2023</c:v>
                </c:pt>
                <c:pt idx="3" formatCode="General">
                  <c:v>2022</c:v>
                </c:pt>
                <c:pt idx="4" formatCode="General">
                  <c:v>2023</c:v>
                </c:pt>
                <c:pt idx="6" formatCode="General">
                  <c:v>2022</c:v>
                </c:pt>
                <c:pt idx="7" formatCode="General">
                  <c:v>2023</c:v>
                </c:pt>
              </c:numCache>
            </c:numRef>
          </c:cat>
          <c:val>
            <c:numRef>
              <c:f>'8 Private Schools'!$I$5:$I$12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0.35733987128409439</c:v>
                </c:pt>
                <c:pt idx="7" formatCode="0.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8FD-44CA-8617-25D350F5E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00272368"/>
        <c:axId val="500269624"/>
      </c:barChart>
      <c:catAx>
        <c:axId val="500272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500269624"/>
        <c:crosses val="autoZero"/>
        <c:auto val="1"/>
        <c:lblAlgn val="ctr"/>
        <c:lblOffset val="100"/>
        <c:noMultiLvlLbl val="0"/>
      </c:catAx>
      <c:valAx>
        <c:axId val="50026962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crossAx val="50027236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10395387323573"/>
          <c:y val="3.9007529729678886E-2"/>
          <c:w val="0.86844490824189147"/>
          <c:h val="0.8024169386550283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'8 Private Schools'!$D$10</c:f>
              <c:strCache>
                <c:ptCount val="1"/>
                <c:pt idx="0">
                  <c:v>Public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'8 Private Schools'!$A$40:$A$47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'8 Private Schools'!$D$40:$D$41</c:f>
              <c:numCache>
                <c:formatCode>0.0%</c:formatCode>
                <c:ptCount val="2"/>
                <c:pt idx="0">
                  <c:v>0.50538610267134909</c:v>
                </c:pt>
                <c:pt idx="1">
                  <c:v>0.50925966463815064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0B-4591-8A33-055AAA555908}"/>
            </c:ext>
          </c:extLst>
        </c:ser>
        <c:ser>
          <c:idx val="3"/>
          <c:order val="1"/>
          <c:tx>
            <c:strRef>
              <c:f>'8 Private Schools'!$E$10</c:f>
              <c:strCache>
                <c:ptCount val="1"/>
                <c:pt idx="0">
                  <c:v>Private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0B-4591-8A33-055AAA555908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0B-4591-8A33-055AAA55590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'8 Private Schools'!$A$40:$A$47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'8 Private Schools'!$E$40:$E$41</c:f>
              <c:numCache>
                <c:formatCode>0.0%</c:formatCode>
                <c:ptCount val="2"/>
                <c:pt idx="0">
                  <c:v>0.34538136763603361</c:v>
                </c:pt>
                <c:pt idx="1">
                  <c:v>0.33658771507377083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0B-4591-8A33-055AAA555908}"/>
            </c:ext>
          </c:extLst>
        </c:ser>
        <c:ser>
          <c:idx val="0"/>
          <c:order val="2"/>
          <c:tx>
            <c:strRef>
              <c:f>'8 Private Schools'!$F$10</c:f>
              <c:strCache>
                <c:ptCount val="1"/>
                <c:pt idx="0">
                  <c:v>Two-year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0B-4591-8A33-055AAA55590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'8 Private Schools'!$A$40:$A$47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'8 Private Schools'!$F$37:$F$41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8.4678214891686074E-2</c:v>
                </c:pt>
                <c:pt idx="4" formatCode="0.0%">
                  <c:v>8.8612582636487025E-2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0B-4591-8A33-055AAA555908}"/>
            </c:ext>
          </c:extLst>
        </c:ser>
        <c:ser>
          <c:idx val="1"/>
          <c:order val="3"/>
          <c:tx>
            <c:strRef>
              <c:f>'8 Private Schools'!$G$10</c:f>
              <c:strCache>
                <c:ptCount val="1"/>
                <c:pt idx="0">
                  <c:v>Four-year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D0B-4591-8A33-055AAA55590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'8 Private Schools'!$A$40:$A$47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'8 Private Schools'!$G$37:$G$41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0.76604979678806773</c:v>
                </c:pt>
                <c:pt idx="4" formatCode="0.0%">
                  <c:v>0.75723479707543451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0B-4591-8A33-055AAA555908}"/>
            </c:ext>
          </c:extLst>
        </c:ser>
        <c:ser>
          <c:idx val="4"/>
          <c:order val="4"/>
          <c:tx>
            <c:strRef>
              <c:f>'8 Private Schools'!$H$10</c:f>
              <c:strCache>
                <c:ptCount val="1"/>
                <c:pt idx="0">
                  <c:v>In-state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D0B-4591-8A33-055AAA55590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'8 Private Schools'!$A$40:$A$47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'8 Private Schools'!$H$34:$H$41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0.48762972023833012</c:v>
                </c:pt>
                <c:pt idx="7" formatCode="0.0%">
                  <c:v>0.48097719014053675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D0B-4591-8A33-055AAA555908}"/>
            </c:ext>
          </c:extLst>
        </c:ser>
        <c:ser>
          <c:idx val="5"/>
          <c:order val="5"/>
          <c:tx>
            <c:strRef>
              <c:f>'8 Private Schools'!$I$10</c:f>
              <c:strCache>
                <c:ptCount val="1"/>
                <c:pt idx="0">
                  <c:v>Out-of-state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D0B-4591-8A33-055AAA55590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'8 Private Schools'!$A$40:$A$47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3" formatCode="General">
                  <c:v>2021</c:v>
                </c:pt>
                <c:pt idx="4" formatCode="General">
                  <c:v>2022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'8 Private Schools'!$I$34:$I$41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0.36313775006905302</c:v>
                </c:pt>
                <c:pt idx="7" formatCode="0.0%">
                  <c:v>0.36487018957138478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D0B-4591-8A33-055AAA555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00272368"/>
        <c:axId val="500269624"/>
      </c:barChart>
      <c:catAx>
        <c:axId val="500272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500269624"/>
        <c:crosses val="autoZero"/>
        <c:auto val="1"/>
        <c:lblAlgn val="ctr"/>
        <c:lblOffset val="100"/>
        <c:noMultiLvlLbl val="0"/>
      </c:catAx>
      <c:valAx>
        <c:axId val="50026962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crossAx val="50027236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10395387323573"/>
          <c:y val="3.9007529729678886E-2"/>
          <c:w val="0.86844490824189147"/>
          <c:h val="0.8024169386550283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'8 Private Schools'!$D$10</c:f>
              <c:strCache>
                <c:ptCount val="1"/>
                <c:pt idx="0">
                  <c:v>Public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'8 Private Schools'!$A$70:$A$77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'8 Private Schools'!$D$70:$D$71</c:f>
              <c:numCache>
                <c:formatCode>0.0%</c:formatCode>
                <c:ptCount val="2"/>
                <c:pt idx="0">
                  <c:v>0.50989060182983126</c:v>
                </c:pt>
                <c:pt idx="1">
                  <c:v>0.52120901235055039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1-4C64-9337-6801F499991A}"/>
            </c:ext>
          </c:extLst>
        </c:ser>
        <c:ser>
          <c:idx val="3"/>
          <c:order val="1"/>
          <c:tx>
            <c:strRef>
              <c:f>'8 Private Schools'!$E$10</c:f>
              <c:strCache>
                <c:ptCount val="1"/>
                <c:pt idx="0">
                  <c:v>Private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'8 Private Schools'!$A$70:$A$77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'8 Private Schools'!$E$70:$E$71</c:f>
              <c:numCache>
                <c:formatCode>0.0%</c:formatCode>
                <c:ptCount val="2"/>
                <c:pt idx="0">
                  <c:v>0.37310092051145743</c:v>
                </c:pt>
                <c:pt idx="1">
                  <c:v>0.353746596693367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91-4C64-9337-6801F499991A}"/>
            </c:ext>
          </c:extLst>
        </c:ser>
        <c:ser>
          <c:idx val="0"/>
          <c:order val="2"/>
          <c:tx>
            <c:strRef>
              <c:f>'8 Private Schools'!$F$10</c:f>
              <c:strCache>
                <c:ptCount val="1"/>
                <c:pt idx="0">
                  <c:v>Two-year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91-4C64-9337-6801F49999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'8 Private Schools'!$A$70:$A$77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'8 Private Schools'!$F$67:$F$71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9.5716404129710983E-2</c:v>
                </c:pt>
                <c:pt idx="4" formatCode="0.0%">
                  <c:v>9.304344394901945E-2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91-4C64-9337-6801F499991A}"/>
            </c:ext>
          </c:extLst>
        </c:ser>
        <c:ser>
          <c:idx val="1"/>
          <c:order val="3"/>
          <c:tx>
            <c:strRef>
              <c:f>'8 Private Schools'!$G$10</c:f>
              <c:strCache>
                <c:ptCount val="1"/>
                <c:pt idx="0">
                  <c:v>Four-year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91-4C64-9337-6801F49999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'8 Private Schools'!$A$70:$A$77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'8 Private Schools'!$G$67:$G$71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0.78716320192496014</c:v>
                </c:pt>
                <c:pt idx="4" formatCode="0.0%">
                  <c:v>0.78187270646726903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91-4C64-9337-6801F499991A}"/>
            </c:ext>
          </c:extLst>
        </c:ser>
        <c:ser>
          <c:idx val="4"/>
          <c:order val="4"/>
          <c:tx>
            <c:strRef>
              <c:f>'8 Private Schools'!$H$10</c:f>
              <c:strCache>
                <c:ptCount val="1"/>
                <c:pt idx="0">
                  <c:v>In-state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E91-4C64-9337-6801F49999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'8 Private Schools'!$A$70:$A$77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'8 Private Schools'!$H$64:$H$71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0.50919112503847119</c:v>
                </c:pt>
                <c:pt idx="7" formatCode="0.0%">
                  <c:v>0.50069052598350627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E91-4C64-9337-6801F499991A}"/>
            </c:ext>
          </c:extLst>
        </c:ser>
        <c:ser>
          <c:idx val="5"/>
          <c:order val="5"/>
          <c:tx>
            <c:strRef>
              <c:f>'8 Private Schools'!$I$10</c:f>
              <c:strCache>
                <c:ptCount val="1"/>
                <c:pt idx="0">
                  <c:v>Out-of-state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E91-4C64-9337-6801F49999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'8 Private Schools'!$A$70:$A$77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'8 Private Schools'!$I$64:$I$71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0.3738003973028175</c:v>
                </c:pt>
                <c:pt idx="7" formatCode="0.0%">
                  <c:v>0.37426508306041117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E91-4C64-9337-6801F4999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00272368"/>
        <c:axId val="500269624"/>
      </c:barChart>
      <c:catAx>
        <c:axId val="500272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500269624"/>
        <c:crosses val="autoZero"/>
        <c:auto val="1"/>
        <c:lblAlgn val="ctr"/>
        <c:lblOffset val="100"/>
        <c:noMultiLvlLbl val="0"/>
      </c:catAx>
      <c:valAx>
        <c:axId val="50026962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crossAx val="50027236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 Private Schools'!$A$100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 Private Schools'!$C$99:$I$99</c:f>
              <c:strCache>
                <c:ptCount val="7"/>
                <c:pt idx="0">
                  <c:v>Total</c:v>
                </c:pt>
                <c:pt idx="1">
                  <c:v>Public</c:v>
                </c:pt>
                <c:pt idx="2">
                  <c:v>Private</c:v>
                </c:pt>
                <c:pt idx="3">
                  <c:v>Two-year</c:v>
                </c:pt>
                <c:pt idx="4">
                  <c:v>Four-year</c:v>
                </c:pt>
                <c:pt idx="5">
                  <c:v>In-state</c:v>
                </c:pt>
                <c:pt idx="6">
                  <c:v>Out-of-state</c:v>
                </c:pt>
              </c:strCache>
            </c:strRef>
          </c:cat>
          <c:val>
            <c:numRef>
              <c:f>'8 Private Schools'!$C$100:$I$100</c:f>
              <c:numCache>
                <c:formatCode>0.0%</c:formatCode>
                <c:ptCount val="7"/>
                <c:pt idx="0">
                  <c:v>0.91890742558063465</c:v>
                </c:pt>
                <c:pt idx="1">
                  <c:v>0.89932011331444761</c:v>
                </c:pt>
                <c:pt idx="2">
                  <c:v>0.94566563467492259</c:v>
                </c:pt>
                <c:pt idx="3">
                  <c:v>0.74585459183673475</c:v>
                </c:pt>
                <c:pt idx="4">
                  <c:v>0.93879187780248619</c:v>
                </c:pt>
                <c:pt idx="5">
                  <c:v>0.89558640930127553</c:v>
                </c:pt>
                <c:pt idx="6">
                  <c:v>0.95105820105820105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A-45D6-93F2-D29F343C85D3}"/>
            </c:ext>
          </c:extLst>
        </c:ser>
        <c:ser>
          <c:idx val="1"/>
          <c:order val="1"/>
          <c:tx>
            <c:strRef>
              <c:f>'8 Private Schools'!$A$101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 Private Schools'!$C$99:$I$99</c:f>
              <c:strCache>
                <c:ptCount val="7"/>
                <c:pt idx="0">
                  <c:v>Total</c:v>
                </c:pt>
                <c:pt idx="1">
                  <c:v>Public</c:v>
                </c:pt>
                <c:pt idx="2">
                  <c:v>Private</c:v>
                </c:pt>
                <c:pt idx="3">
                  <c:v>Two-year</c:v>
                </c:pt>
                <c:pt idx="4">
                  <c:v>Four-year</c:v>
                </c:pt>
                <c:pt idx="5">
                  <c:v>In-state</c:v>
                </c:pt>
                <c:pt idx="6">
                  <c:v>Out-of-state</c:v>
                </c:pt>
              </c:strCache>
            </c:strRef>
          </c:cat>
          <c:val>
            <c:numRef>
              <c:f>'8 Private Schools'!$C$101:$I$101</c:f>
              <c:numCache>
                <c:formatCode>0.0%</c:formatCode>
                <c:ptCount val="7"/>
                <c:pt idx="0">
                  <c:v>0.92106117527016373</c:v>
                </c:pt>
                <c:pt idx="1">
                  <c:v>0.90170206121174268</c:v>
                </c:pt>
                <c:pt idx="2">
                  <c:v>0.94938878098937507</c:v>
                </c:pt>
                <c:pt idx="3">
                  <c:v>0.75069897483690584</c:v>
                </c:pt>
                <c:pt idx="4">
                  <c:v>0.9399402493046255</c:v>
                </c:pt>
                <c:pt idx="5">
                  <c:v>0.89747531963100824</c:v>
                </c:pt>
                <c:pt idx="6">
                  <c:v>0.9527328045202651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0A-45D6-93F2-D29F343C8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-27"/>
        <c:axId val="450104607"/>
        <c:axId val="450102207"/>
      </c:barChart>
      <c:catAx>
        <c:axId val="450104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102207"/>
        <c:crosses val="autoZero"/>
        <c:auto val="1"/>
        <c:lblAlgn val="ctr"/>
        <c:lblOffset val="100"/>
        <c:noMultiLvlLbl val="0"/>
      </c:catAx>
      <c:valAx>
        <c:axId val="450102207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104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10395387323573"/>
          <c:y val="3.9007529729678886E-2"/>
          <c:w val="0.86844490824189147"/>
          <c:h val="0.8024169386550283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'8 Private Schools'!$D$10</c:f>
              <c:strCache>
                <c:ptCount val="1"/>
                <c:pt idx="0">
                  <c:v>Public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'8 Private Schools'!$A$130:$A$137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'8 Private Schools'!$D$130:$D$131</c:f>
              <c:numCache>
                <c:formatCode>0.0%</c:formatCode>
                <c:ptCount val="2"/>
                <c:pt idx="0">
                  <c:v>0.38604559651754755</c:v>
                </c:pt>
                <c:pt idx="1">
                  <c:v>0.38598760310410463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66-4226-A6EB-A5820D11CDD9}"/>
            </c:ext>
          </c:extLst>
        </c:ser>
        <c:ser>
          <c:idx val="3"/>
          <c:order val="1"/>
          <c:tx>
            <c:strRef>
              <c:f>'8 Private Schools'!$E$10</c:f>
              <c:strCache>
                <c:ptCount val="1"/>
                <c:pt idx="0">
                  <c:v>Private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'8 Private Schools'!$A$130:$A$137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'8 Private Schools'!$E$130:$E$131</c:f>
              <c:numCache>
                <c:formatCode>0.0%</c:formatCode>
                <c:ptCount val="2"/>
                <c:pt idx="0">
                  <c:v>0.32178254346917196</c:v>
                </c:pt>
                <c:pt idx="1">
                  <c:v>0.32388110693542876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66-4226-A6EB-A5820D11CDD9}"/>
            </c:ext>
          </c:extLst>
        </c:ser>
        <c:ser>
          <c:idx val="0"/>
          <c:order val="2"/>
          <c:tx>
            <c:strRef>
              <c:f>'8 Private Schools'!$F$10</c:f>
              <c:strCache>
                <c:ptCount val="1"/>
                <c:pt idx="0">
                  <c:v>Two-year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A66-4226-A6EB-A5820D11CD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'8 Private Schools'!$A$130:$A$137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'8 Private Schools'!$F$127:$F$131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4.6309731683923168E-2</c:v>
                </c:pt>
                <c:pt idx="4" formatCode="0.0%">
                  <c:v>4.3999219093171948E-2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66-4226-A6EB-A5820D11CDD9}"/>
            </c:ext>
          </c:extLst>
        </c:ser>
        <c:ser>
          <c:idx val="1"/>
          <c:order val="3"/>
          <c:tx>
            <c:strRef>
              <c:f>'8 Private Schools'!$G$10</c:f>
              <c:strCache>
                <c:ptCount val="1"/>
                <c:pt idx="0">
                  <c:v>Four-year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A66-4226-A6EB-A5820D11CD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'8 Private Schools'!$A$130:$A$137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'8 Private Schools'!$G$127:$G$131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0.66142003393915549</c:v>
                </c:pt>
                <c:pt idx="4" formatCode="0.0%">
                  <c:v>0.665747474254478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A66-4226-A6EB-A5820D11CDD9}"/>
            </c:ext>
          </c:extLst>
        </c:ser>
        <c:ser>
          <c:idx val="4"/>
          <c:order val="4"/>
          <c:tx>
            <c:strRef>
              <c:f>'8 Private Schools'!$H$10</c:f>
              <c:strCache>
                <c:ptCount val="1"/>
                <c:pt idx="0">
                  <c:v>In-state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A66-4226-A6EB-A5820D11CD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'8 Private Schools'!$A$130:$A$137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'8 Private Schools'!$H$124:$H$131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0.40146577801824845</c:v>
                </c:pt>
                <c:pt idx="7" formatCode="0.0%">
                  <c:v>0.39992190931719457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A66-4226-A6EB-A5820D11CDD9}"/>
            </c:ext>
          </c:extLst>
        </c:ser>
        <c:ser>
          <c:idx val="5"/>
          <c:order val="5"/>
          <c:tx>
            <c:strRef>
              <c:f>'8 Private Schools'!$I$10</c:f>
              <c:strCache>
                <c:ptCount val="1"/>
                <c:pt idx="0">
                  <c:v>Out-of-state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A66-4226-A6EB-A5820D11CD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'8 Private Schools'!$A$130:$A$137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'8 Private Schools'!$I$124:$I$131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0.306362361968471</c:v>
                </c:pt>
                <c:pt idx="7" formatCode="0.0%">
                  <c:v>0.30994680072233882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A66-4226-A6EB-A5820D11C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00272368"/>
        <c:axId val="500269624"/>
      </c:barChart>
      <c:catAx>
        <c:axId val="500272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500269624"/>
        <c:crosses val="autoZero"/>
        <c:auto val="1"/>
        <c:lblAlgn val="ctr"/>
        <c:lblOffset val="100"/>
        <c:noMultiLvlLbl val="0"/>
      </c:catAx>
      <c:valAx>
        <c:axId val="50026962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crossAx val="50027236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'9 Income Differences'!$B$6</c:f>
              <c:strCache>
                <c:ptCount val="1"/>
                <c:pt idx="0">
                  <c:v>N Schools in NSC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3333333333333592E-3"/>
                  <c:y val="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A8-46C3-A64B-E34567E247B6}"/>
                </c:ext>
              </c:extLst>
            </c:dLbl>
            <c:dLbl>
              <c:idx val="1"/>
              <c:layout>
                <c:manualLayout>
                  <c:x val="-1.6666666666666718E-2"/>
                  <c:y val="-3.2407407407407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A8-46C3-A64B-E34567E247B6}"/>
                </c:ext>
              </c:extLst>
            </c:dLbl>
            <c:dLbl>
              <c:idx val="2"/>
              <c:layout>
                <c:manualLayout>
                  <c:x val="-5.5555555555555558E-3"/>
                  <c:y val="3.70370370370369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A8-46C3-A64B-E34567E247B6}"/>
                </c:ext>
              </c:extLst>
            </c:dLbl>
            <c:dLbl>
              <c:idx val="3"/>
              <c:layout>
                <c:manualLayout>
                  <c:x val="0"/>
                  <c:y val="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A8-46C3-A64B-E34567E247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 Income Differences'!$A$7:$A$11</c:f>
              <c:strCache>
                <c:ptCount val="5"/>
                <c:pt idx="0">
                  <c:v>Class of 2017</c:v>
                </c:pt>
                <c:pt idx="1">
                  <c:v>Class of 2020</c:v>
                </c:pt>
                <c:pt idx="2">
                  <c:v>Class of 2021</c:v>
                </c:pt>
                <c:pt idx="3">
                  <c:v>Class of 2022</c:v>
                </c:pt>
                <c:pt idx="4">
                  <c:v>Class of 2023</c:v>
                </c:pt>
              </c:strCache>
            </c:strRef>
          </c:cat>
          <c:val>
            <c:numRef>
              <c:f>'9 Income Differences'!$B$7:$B$11</c:f>
              <c:numCache>
                <c:formatCode>#,##0</c:formatCode>
                <c:ptCount val="5"/>
                <c:pt idx="0">
                  <c:v>4041</c:v>
                </c:pt>
                <c:pt idx="1">
                  <c:v>4546</c:v>
                </c:pt>
                <c:pt idx="2">
                  <c:v>3842</c:v>
                </c:pt>
                <c:pt idx="3">
                  <c:v>3836</c:v>
                </c:pt>
                <c:pt idx="4">
                  <c:v>4465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A8-46C3-A64B-E34567E247B6}"/>
            </c:ext>
          </c:extLst>
        </c:ser>
        <c:ser>
          <c:idx val="1"/>
          <c:order val="1"/>
          <c:tx>
            <c:strRef>
              <c:f>'9 Income Differences'!$C$6</c:f>
              <c:strCache>
                <c:ptCount val="1"/>
                <c:pt idx="0">
                  <c:v>N Schools in NCES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166666666666672E-2"/>
                  <c:y val="3.7037037037037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BA8-46C3-A64B-E34567E247B6}"/>
                </c:ext>
              </c:extLst>
            </c:dLbl>
            <c:dLbl>
              <c:idx val="2"/>
              <c:layout>
                <c:manualLayout>
                  <c:x val="-1.3888888888888888E-2"/>
                  <c:y val="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A8-46C3-A64B-E34567E247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 Income Differences'!$A$7:$A$11</c:f>
              <c:strCache>
                <c:ptCount val="5"/>
                <c:pt idx="0">
                  <c:v>Class of 2017</c:v>
                </c:pt>
                <c:pt idx="1">
                  <c:v>Class of 2020</c:v>
                </c:pt>
                <c:pt idx="2">
                  <c:v>Class of 2021</c:v>
                </c:pt>
                <c:pt idx="3">
                  <c:v>Class of 2022</c:v>
                </c:pt>
                <c:pt idx="4">
                  <c:v>Class of 2023</c:v>
                </c:pt>
              </c:strCache>
            </c:strRef>
          </c:cat>
          <c:val>
            <c:numRef>
              <c:f>'9 Income Differences'!$C$7:$C$11</c:f>
              <c:numCache>
                <c:formatCode>#,##0</c:formatCode>
                <c:ptCount val="5"/>
                <c:pt idx="0">
                  <c:v>7003</c:v>
                </c:pt>
                <c:pt idx="1">
                  <c:v>7230</c:v>
                </c:pt>
                <c:pt idx="2">
                  <c:v>6155</c:v>
                </c:pt>
                <c:pt idx="3">
                  <c:v>5919</c:v>
                </c:pt>
                <c:pt idx="4">
                  <c:v>7713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8-46C3-A64B-E34567E24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597759"/>
        <c:axId val="431598719"/>
      </c:lineChart>
      <c:catAx>
        <c:axId val="43159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598719"/>
        <c:crosses val="autoZero"/>
        <c:auto val="1"/>
        <c:lblAlgn val="ctr"/>
        <c:lblOffset val="100"/>
        <c:noMultiLvlLbl val="0"/>
      </c:catAx>
      <c:valAx>
        <c:axId val="431598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59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'9 Income Differences'!$N$6</c:f>
              <c:strCache>
                <c:ptCount val="1"/>
                <c:pt idx="0">
                  <c:v>N Schools in NSC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3333333333333361E-2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8A-4C43-8EC5-2F83F9C08BA0}"/>
                </c:ext>
              </c:extLst>
            </c:dLbl>
            <c:dLbl>
              <c:idx val="1"/>
              <c:layout>
                <c:manualLayout>
                  <c:x val="-1.6666666666666666E-2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8A-4C43-8EC5-2F83F9C08BA0}"/>
                </c:ext>
              </c:extLst>
            </c:dLbl>
            <c:dLbl>
              <c:idx val="2"/>
              <c:layout>
                <c:manualLayout>
                  <c:x val="-1.6666666666666666E-2"/>
                  <c:y val="-3.2407407407407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8A-4C43-8EC5-2F83F9C08BA0}"/>
                </c:ext>
              </c:extLst>
            </c:dLbl>
            <c:dLbl>
              <c:idx val="3"/>
              <c:layout>
                <c:manualLayout>
                  <c:x val="-2.7777777777777776E-2"/>
                  <c:y val="-3.7037037037037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8A-4C43-8EC5-2F83F9C08B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 Income Differences'!$A$7:$A$11</c:f>
              <c:strCache>
                <c:ptCount val="5"/>
                <c:pt idx="0">
                  <c:v>Class of 2017</c:v>
                </c:pt>
                <c:pt idx="1">
                  <c:v>Class of 2020</c:v>
                </c:pt>
                <c:pt idx="2">
                  <c:v>Class of 2021</c:v>
                </c:pt>
                <c:pt idx="3">
                  <c:v>Class of 2022</c:v>
                </c:pt>
                <c:pt idx="4">
                  <c:v>Class of 2023</c:v>
                </c:pt>
              </c:strCache>
            </c:strRef>
          </c:cat>
          <c:val>
            <c:numRef>
              <c:f>'9 Income Differences'!$N$7:$N$11</c:f>
              <c:numCache>
                <c:formatCode>#,##0</c:formatCode>
                <c:ptCount val="5"/>
                <c:pt idx="0">
                  <c:v>6740</c:v>
                </c:pt>
                <c:pt idx="1">
                  <c:v>6818</c:v>
                </c:pt>
                <c:pt idx="2">
                  <c:v>7474</c:v>
                </c:pt>
                <c:pt idx="3">
                  <c:v>7555</c:v>
                </c:pt>
                <c:pt idx="4">
                  <c:v>6100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8A-4C43-8EC5-2F83F9C08BA0}"/>
            </c:ext>
          </c:extLst>
        </c:ser>
        <c:ser>
          <c:idx val="1"/>
          <c:order val="1"/>
          <c:tx>
            <c:strRef>
              <c:f>'9 Income Differences'!$O$6</c:f>
              <c:strCache>
                <c:ptCount val="1"/>
                <c:pt idx="0">
                  <c:v>N Schools in NCES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1666666666666664E-2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C8A-4C43-8EC5-2F83F9C08BA0}"/>
                </c:ext>
              </c:extLst>
            </c:dLbl>
            <c:dLbl>
              <c:idx val="1"/>
              <c:layout>
                <c:manualLayout>
                  <c:x val="-2.2222222222222223E-2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C8A-4C43-8EC5-2F83F9C08BA0}"/>
                </c:ext>
              </c:extLst>
            </c:dLbl>
            <c:dLbl>
              <c:idx val="2"/>
              <c:layout>
                <c:manualLayout>
                  <c:x val="-3.6111111111111108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8A-4C43-8EC5-2F83F9C08BA0}"/>
                </c:ext>
              </c:extLst>
            </c:dLbl>
            <c:dLbl>
              <c:idx val="3"/>
              <c:layout>
                <c:manualLayout>
                  <c:x val="-2.5000000000000102E-2"/>
                  <c:y val="-3.2407407407407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C8A-4C43-8EC5-2F83F9C08B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 Income Differences'!$A$7:$A$11</c:f>
              <c:strCache>
                <c:ptCount val="5"/>
                <c:pt idx="0">
                  <c:v>Class of 2017</c:v>
                </c:pt>
                <c:pt idx="1">
                  <c:v>Class of 2020</c:v>
                </c:pt>
                <c:pt idx="2">
                  <c:v>Class of 2021</c:v>
                </c:pt>
                <c:pt idx="3">
                  <c:v>Class of 2022</c:v>
                </c:pt>
                <c:pt idx="4">
                  <c:v>Class of 2023</c:v>
                </c:pt>
              </c:strCache>
            </c:strRef>
          </c:cat>
          <c:val>
            <c:numRef>
              <c:f>'9 Income Differences'!$O$7:$O$11</c:f>
              <c:numCache>
                <c:formatCode>#,##0</c:formatCode>
                <c:ptCount val="5"/>
                <c:pt idx="0">
                  <c:v>10065</c:v>
                </c:pt>
                <c:pt idx="1">
                  <c:v>9906</c:v>
                </c:pt>
                <c:pt idx="2">
                  <c:v>10992</c:v>
                </c:pt>
                <c:pt idx="3">
                  <c:v>11463</c:v>
                </c:pt>
                <c:pt idx="4">
                  <c:v>9731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8A-4C43-8EC5-2F83F9C08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597759"/>
        <c:axId val="431598719"/>
      </c:lineChart>
      <c:catAx>
        <c:axId val="43159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598719"/>
        <c:crosses val="autoZero"/>
        <c:auto val="1"/>
        <c:lblAlgn val="ctr"/>
        <c:lblOffset val="100"/>
        <c:noMultiLvlLbl val="0"/>
      </c:catAx>
      <c:valAx>
        <c:axId val="431598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59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10395387323573"/>
          <c:y val="3.9007529729678886E-2"/>
          <c:w val="0.86844490824189147"/>
          <c:h val="0.7770683013482629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'5 Public Non-Charter Minority'!$D$10</c:f>
              <c:strCache>
                <c:ptCount val="1"/>
                <c:pt idx="0">
                  <c:v>Public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'9 Income Differences'!$A$33:$A$41</c:f>
              <c:strCache>
                <c:ptCount val="8"/>
                <c:pt idx="0">
                  <c:v>2023</c:v>
                </c:pt>
                <c:pt idx="1">
                  <c:v>2023 Adjusted to 2022 Flags</c:v>
                </c:pt>
                <c:pt idx="3">
                  <c:v>2023</c:v>
                </c:pt>
                <c:pt idx="4">
                  <c:v>2023 Adjusted to 2022 Flags</c:v>
                </c:pt>
                <c:pt idx="6">
                  <c:v>2023</c:v>
                </c:pt>
                <c:pt idx="7">
                  <c:v>2023 Adjusted to 2022 Flags</c:v>
                </c:pt>
              </c:strCache>
            </c:strRef>
          </c:cat>
          <c:val>
            <c:numRef>
              <c:f>'9 Income Differences'!$D$33:$D$34</c:f>
              <c:numCache>
                <c:formatCode>0.0%</c:formatCode>
                <c:ptCount val="2"/>
                <c:pt idx="0">
                  <c:v>0.45608978040258907</c:v>
                </c:pt>
                <c:pt idx="1">
                  <c:v>0.46383423047699707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B7-4667-8523-C0A7EE575D3C}"/>
            </c:ext>
          </c:extLst>
        </c:ser>
        <c:ser>
          <c:idx val="3"/>
          <c:order val="1"/>
          <c:tx>
            <c:strRef>
              <c:f>'5 Public Non-Charter Minority'!$E$10</c:f>
              <c:strCache>
                <c:ptCount val="1"/>
                <c:pt idx="0">
                  <c:v>Private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'9 Income Differences'!$A$33:$A$41</c:f>
              <c:strCache>
                <c:ptCount val="8"/>
                <c:pt idx="0">
                  <c:v>2023</c:v>
                </c:pt>
                <c:pt idx="1">
                  <c:v>2023 Adjusted to 2022 Flags</c:v>
                </c:pt>
                <c:pt idx="3">
                  <c:v>2023</c:v>
                </c:pt>
                <c:pt idx="4">
                  <c:v>2023 Adjusted to 2022 Flags</c:v>
                </c:pt>
                <c:pt idx="6">
                  <c:v>2023</c:v>
                </c:pt>
                <c:pt idx="7">
                  <c:v>2023 Adjusted to 2022 Flags</c:v>
                </c:pt>
              </c:strCache>
            </c:strRef>
          </c:cat>
          <c:val>
            <c:numRef>
              <c:f>'9 Income Differences'!$E$33:$E$34</c:f>
              <c:numCache>
                <c:formatCode>0.0%</c:formatCode>
                <c:ptCount val="2"/>
                <c:pt idx="0">
                  <c:v>6.6885757722836225E-2</c:v>
                </c:pt>
                <c:pt idx="1">
                  <c:v>6.2551883237299974E-2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B7-4667-8523-C0A7EE575D3C}"/>
            </c:ext>
          </c:extLst>
        </c:ser>
        <c:ser>
          <c:idx val="0"/>
          <c:order val="2"/>
          <c:tx>
            <c:strRef>
              <c:f>'5 Public Non-Charter Minority'!$F$10</c:f>
              <c:strCache>
                <c:ptCount val="1"/>
                <c:pt idx="0">
                  <c:v>Two-year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B7-4667-8523-C0A7EE575D3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'9 Income Differences'!$A$33:$A$41</c:f>
              <c:strCache>
                <c:ptCount val="8"/>
                <c:pt idx="0">
                  <c:v>2023</c:v>
                </c:pt>
                <c:pt idx="1">
                  <c:v>2023 Adjusted to 2022 Flags</c:v>
                </c:pt>
                <c:pt idx="3">
                  <c:v>2023</c:v>
                </c:pt>
                <c:pt idx="4">
                  <c:v>2023 Adjusted to 2022 Flags</c:v>
                </c:pt>
                <c:pt idx="6">
                  <c:v>2023</c:v>
                </c:pt>
                <c:pt idx="7">
                  <c:v>2023 Adjusted to 2022 Flags</c:v>
                </c:pt>
              </c:strCache>
            </c:strRef>
          </c:cat>
          <c:val>
            <c:numRef>
              <c:f>'9 Income Differences'!$F$30:$F$34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0.2227269302922408</c:v>
                </c:pt>
                <c:pt idx="4" formatCode="0.0%">
                  <c:v>0.23141720161501148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B7-4667-8523-C0A7EE575D3C}"/>
            </c:ext>
          </c:extLst>
        </c:ser>
        <c:ser>
          <c:idx val="1"/>
          <c:order val="3"/>
          <c:tx>
            <c:strRef>
              <c:f>'5 Public Non-Charter Minority'!$G$10</c:f>
              <c:strCache>
                <c:ptCount val="1"/>
                <c:pt idx="0">
                  <c:v>Four-year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B7-4667-8523-C0A7EE575D3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'9 Income Differences'!$A$33:$A$41</c:f>
              <c:strCache>
                <c:ptCount val="8"/>
                <c:pt idx="0">
                  <c:v>2023</c:v>
                </c:pt>
                <c:pt idx="1">
                  <c:v>2023 Adjusted to 2022 Flags</c:v>
                </c:pt>
                <c:pt idx="3">
                  <c:v>2023</c:v>
                </c:pt>
                <c:pt idx="4">
                  <c:v>2023 Adjusted to 2022 Flags</c:v>
                </c:pt>
                <c:pt idx="6">
                  <c:v>2023</c:v>
                </c:pt>
                <c:pt idx="7">
                  <c:v>2023 Adjusted to 2022 Flags</c:v>
                </c:pt>
              </c:strCache>
            </c:strRef>
          </c:cat>
          <c:val>
            <c:numRef>
              <c:f>'9 Income Differences'!$G$30:$G$34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0.30024860783318452</c:v>
                </c:pt>
                <c:pt idx="4" formatCode="0.0%">
                  <c:v>0.29496891209928561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B7-4667-8523-C0A7EE575D3C}"/>
            </c:ext>
          </c:extLst>
        </c:ser>
        <c:ser>
          <c:idx val="4"/>
          <c:order val="4"/>
          <c:tx>
            <c:strRef>
              <c:f>'5 Public Non-Charter Minority'!$H$10</c:f>
              <c:strCache>
                <c:ptCount val="1"/>
                <c:pt idx="0">
                  <c:v>In-state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7B7-4667-8523-C0A7EE575D3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'9 Income Differences'!$A$33:$A$41</c:f>
              <c:strCache>
                <c:ptCount val="8"/>
                <c:pt idx="0">
                  <c:v>2023</c:v>
                </c:pt>
                <c:pt idx="1">
                  <c:v>2023 Adjusted to 2022 Flags</c:v>
                </c:pt>
                <c:pt idx="3">
                  <c:v>2023</c:v>
                </c:pt>
                <c:pt idx="4">
                  <c:v>2023 Adjusted to 2022 Flags</c:v>
                </c:pt>
                <c:pt idx="6">
                  <c:v>2023</c:v>
                </c:pt>
                <c:pt idx="7">
                  <c:v>2023 Adjusted to 2022 Flags</c:v>
                </c:pt>
              </c:strCache>
            </c:strRef>
          </c:cat>
          <c:val>
            <c:numRef>
              <c:f>'9 Income Differences'!$H$27:$H$34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0.46919942843663587</c:v>
                </c:pt>
                <c:pt idx="7" formatCode="0.0%">
                  <c:v>0.4768457437782157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7B7-4667-8523-C0A7EE575D3C}"/>
            </c:ext>
          </c:extLst>
        </c:ser>
        <c:ser>
          <c:idx val="5"/>
          <c:order val="5"/>
          <c:tx>
            <c:strRef>
              <c:f>'5 Public Non-Charter Minority'!$I$10</c:f>
              <c:strCache>
                <c:ptCount val="1"/>
                <c:pt idx="0">
                  <c:v>Out-of-state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7B7-4667-8523-C0A7EE575D3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'9 Income Differences'!$A$33:$A$41</c:f>
              <c:strCache>
                <c:ptCount val="8"/>
                <c:pt idx="0">
                  <c:v>2023</c:v>
                </c:pt>
                <c:pt idx="1">
                  <c:v>2023 Adjusted to 2022 Flags</c:v>
                </c:pt>
                <c:pt idx="3">
                  <c:v>2023</c:v>
                </c:pt>
                <c:pt idx="4">
                  <c:v>2023 Adjusted to 2022 Flags</c:v>
                </c:pt>
                <c:pt idx="6">
                  <c:v>2023</c:v>
                </c:pt>
                <c:pt idx="7">
                  <c:v>2023 Adjusted to 2022 Flags</c:v>
                </c:pt>
              </c:strCache>
            </c:strRef>
          </c:cat>
          <c:val>
            <c:numRef>
              <c:f>'9 Income Differences'!$I$27:$I$34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5.3776109688789431E-2</c:v>
                </c:pt>
                <c:pt idx="7" formatCode="0.0%">
                  <c:v>4.954036993608138E-2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7B7-4667-8523-C0A7EE575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00272368"/>
        <c:axId val="500269624"/>
      </c:barChart>
      <c:catAx>
        <c:axId val="50027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00269624"/>
        <c:crosses val="autoZero"/>
        <c:auto val="1"/>
        <c:lblAlgn val="ctr"/>
        <c:lblOffset val="100"/>
        <c:noMultiLvlLbl val="0"/>
      </c:catAx>
      <c:valAx>
        <c:axId val="50026962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crossAx val="50027236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10395387323573"/>
          <c:y val="3.9007529729678886E-2"/>
          <c:w val="0.86844490824189147"/>
          <c:h val="0.7770683013482629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'5 Public Non-Charter Minority'!$D$10</c:f>
              <c:strCache>
                <c:ptCount val="1"/>
                <c:pt idx="0">
                  <c:v>Public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'9 Income Differences'!$A$33:$A$41</c:f>
              <c:strCache>
                <c:ptCount val="8"/>
                <c:pt idx="0">
                  <c:v>2023</c:v>
                </c:pt>
                <c:pt idx="1">
                  <c:v>2023 Adjusted to 2022 Flags</c:v>
                </c:pt>
                <c:pt idx="3">
                  <c:v>2023</c:v>
                </c:pt>
                <c:pt idx="4">
                  <c:v>2023 Adjusted to 2022 Flags</c:v>
                </c:pt>
                <c:pt idx="6">
                  <c:v>2023</c:v>
                </c:pt>
                <c:pt idx="7">
                  <c:v>2023 Adjusted to 2022 Flags</c:v>
                </c:pt>
              </c:strCache>
            </c:strRef>
          </c:cat>
          <c:val>
            <c:numRef>
              <c:f>'9 Income Differences'!$O$33:$O$34</c:f>
              <c:numCache>
                <c:formatCode>0.0%</c:formatCode>
                <c:ptCount val="2"/>
                <c:pt idx="0">
                  <c:v>0.51721160288728751</c:v>
                </c:pt>
                <c:pt idx="1">
                  <c:v>0.50632687366191009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65-4819-A228-0DF5BCC9DCE3}"/>
            </c:ext>
          </c:extLst>
        </c:ser>
        <c:ser>
          <c:idx val="3"/>
          <c:order val="1"/>
          <c:tx>
            <c:strRef>
              <c:f>'5 Public Non-Charter Minority'!$E$10</c:f>
              <c:strCache>
                <c:ptCount val="1"/>
                <c:pt idx="0">
                  <c:v>Private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'9 Income Differences'!$A$33:$A$41</c:f>
              <c:strCache>
                <c:ptCount val="8"/>
                <c:pt idx="0">
                  <c:v>2023</c:v>
                </c:pt>
                <c:pt idx="1">
                  <c:v>2023 Adjusted to 2022 Flags</c:v>
                </c:pt>
                <c:pt idx="3">
                  <c:v>2023</c:v>
                </c:pt>
                <c:pt idx="4">
                  <c:v>2023 Adjusted to 2022 Flags</c:v>
                </c:pt>
                <c:pt idx="6">
                  <c:v>2023</c:v>
                </c:pt>
                <c:pt idx="7">
                  <c:v>2023 Adjusted to 2022 Flags</c:v>
                </c:pt>
              </c:strCache>
            </c:strRef>
          </c:cat>
          <c:val>
            <c:numRef>
              <c:f>'9 Income Differences'!$P$33:$P$34</c:f>
              <c:numCache>
                <c:formatCode>0.0%</c:formatCode>
                <c:ptCount val="2"/>
                <c:pt idx="0">
                  <c:v>0.13423622324007864</c:v>
                </c:pt>
                <c:pt idx="1">
                  <c:v>0.12852757277304874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65-4819-A228-0DF5BCC9DCE3}"/>
            </c:ext>
          </c:extLst>
        </c:ser>
        <c:ser>
          <c:idx val="0"/>
          <c:order val="2"/>
          <c:tx>
            <c:strRef>
              <c:f>'5 Public Non-Charter Minority'!$F$10</c:f>
              <c:strCache>
                <c:ptCount val="1"/>
                <c:pt idx="0">
                  <c:v>Two-year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65-4819-A228-0DF5BCC9DCE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'9 Income Differences'!$A$33:$A$41</c:f>
              <c:strCache>
                <c:ptCount val="8"/>
                <c:pt idx="0">
                  <c:v>2023</c:v>
                </c:pt>
                <c:pt idx="1">
                  <c:v>2023 Adjusted to 2022 Flags</c:v>
                </c:pt>
                <c:pt idx="3">
                  <c:v>2023</c:v>
                </c:pt>
                <c:pt idx="4">
                  <c:v>2023 Adjusted to 2022 Flags</c:v>
                </c:pt>
                <c:pt idx="6">
                  <c:v>2023</c:v>
                </c:pt>
                <c:pt idx="7">
                  <c:v>2023 Adjusted to 2022 Flags</c:v>
                </c:pt>
              </c:strCache>
            </c:strRef>
          </c:cat>
          <c:val>
            <c:numRef>
              <c:f>'9 Income Differences'!$Q$30:$Q$34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0.16585764824470461</c:v>
                </c:pt>
                <c:pt idx="4" formatCode="0.0%">
                  <c:v>0.16822053737914719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65-4819-A228-0DF5BCC9DCE3}"/>
            </c:ext>
          </c:extLst>
        </c:ser>
        <c:ser>
          <c:idx val="1"/>
          <c:order val="3"/>
          <c:tx>
            <c:strRef>
              <c:f>'5 Public Non-Charter Minority'!$G$10</c:f>
              <c:strCache>
                <c:ptCount val="1"/>
                <c:pt idx="0">
                  <c:v>Four-year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65-4819-A228-0DF5BCC9DCE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'9 Income Differences'!$A$33:$A$41</c:f>
              <c:strCache>
                <c:ptCount val="8"/>
                <c:pt idx="0">
                  <c:v>2023</c:v>
                </c:pt>
                <c:pt idx="1">
                  <c:v>2023 Adjusted to 2022 Flags</c:v>
                </c:pt>
                <c:pt idx="3">
                  <c:v>2023</c:v>
                </c:pt>
                <c:pt idx="4">
                  <c:v>2023 Adjusted to 2022 Flags</c:v>
                </c:pt>
                <c:pt idx="6">
                  <c:v>2023</c:v>
                </c:pt>
                <c:pt idx="7">
                  <c:v>2023 Adjusted to 2022 Flags</c:v>
                </c:pt>
              </c:strCache>
            </c:strRef>
          </c:cat>
          <c:val>
            <c:numRef>
              <c:f>'9 Income Differences'!$R$30:$R$34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0.48559017788266151</c:v>
                </c:pt>
                <c:pt idx="4" formatCode="0.0%">
                  <c:v>0.46663390905581165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65-4819-A228-0DF5BCC9DCE3}"/>
            </c:ext>
          </c:extLst>
        </c:ser>
        <c:ser>
          <c:idx val="4"/>
          <c:order val="4"/>
          <c:tx>
            <c:strRef>
              <c:f>'5 Public Non-Charter Minority'!$H$10</c:f>
              <c:strCache>
                <c:ptCount val="1"/>
                <c:pt idx="0">
                  <c:v>In-state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165-4819-A228-0DF5BCC9DCE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'9 Income Differences'!$A$33:$A$41</c:f>
              <c:strCache>
                <c:ptCount val="8"/>
                <c:pt idx="0">
                  <c:v>2023</c:v>
                </c:pt>
                <c:pt idx="1">
                  <c:v>2023 Adjusted to 2022 Flags</c:v>
                </c:pt>
                <c:pt idx="3">
                  <c:v>2023</c:v>
                </c:pt>
                <c:pt idx="4">
                  <c:v>2023 Adjusted to 2022 Flags</c:v>
                </c:pt>
                <c:pt idx="6">
                  <c:v>2023</c:v>
                </c:pt>
                <c:pt idx="7">
                  <c:v>2023 Adjusted to 2022 Flags</c:v>
                </c:pt>
              </c:strCache>
            </c:strRef>
          </c:cat>
          <c:val>
            <c:numRef>
              <c:f>'9 Income Differences'!$S$27:$S$34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0.49095631469506978</c:v>
                </c:pt>
                <c:pt idx="7" formatCode="0.0%">
                  <c:v>0.48469340892475632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165-4819-A228-0DF5BCC9DCE3}"/>
            </c:ext>
          </c:extLst>
        </c:ser>
        <c:ser>
          <c:idx val="5"/>
          <c:order val="5"/>
          <c:tx>
            <c:strRef>
              <c:f>'5 Public Non-Charter Minority'!$I$10</c:f>
              <c:strCache>
                <c:ptCount val="1"/>
                <c:pt idx="0">
                  <c:v>Out-of-state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165-4819-A228-0DF5BCC9DCE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'9 Income Differences'!$A$33:$A$41</c:f>
              <c:strCache>
                <c:ptCount val="8"/>
                <c:pt idx="0">
                  <c:v>2023</c:v>
                </c:pt>
                <c:pt idx="1">
                  <c:v>2023 Adjusted to 2022 Flags</c:v>
                </c:pt>
                <c:pt idx="3">
                  <c:v>2023</c:v>
                </c:pt>
                <c:pt idx="4">
                  <c:v>2023 Adjusted to 2022 Flags</c:v>
                </c:pt>
                <c:pt idx="6">
                  <c:v>2023</c:v>
                </c:pt>
                <c:pt idx="7">
                  <c:v>2023 Adjusted to 2022 Flags</c:v>
                </c:pt>
              </c:strCache>
            </c:strRef>
          </c:cat>
          <c:val>
            <c:numRef>
              <c:f>'9 Income Differences'!$T$27:$T$34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0.16049151143229634</c:v>
                </c:pt>
                <c:pt idx="7" formatCode="0.0%">
                  <c:v>0.15016103751020252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165-4819-A228-0DF5BCC9D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00272368"/>
        <c:axId val="500269624"/>
      </c:barChart>
      <c:catAx>
        <c:axId val="50027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00269624"/>
        <c:crosses val="autoZero"/>
        <c:auto val="1"/>
        <c:lblAlgn val="ctr"/>
        <c:lblOffset val="100"/>
        <c:noMultiLvlLbl val="0"/>
      </c:catAx>
      <c:valAx>
        <c:axId val="50026962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crossAx val="50027236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10395387323573"/>
          <c:y val="3.9007529729678886E-2"/>
          <c:w val="0.86844490824189147"/>
          <c:h val="0.8024169386550283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'3 Public Non-Charter Poverty'!$D$10</c:f>
              <c:strCache>
                <c:ptCount val="1"/>
                <c:pt idx="0">
                  <c:v>Public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 Public Non-Charter Poverty'!$A$70:$A$77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'3 Public Non-Charter Poverty'!$Q$70:$Q$71</c:f>
              <c:numCache>
                <c:formatCode>0.0%</c:formatCode>
                <c:ptCount val="2"/>
                <c:pt idx="0">
                  <c:v>0.62551366771386274</c:v>
                </c:pt>
                <c:pt idx="1">
                  <c:v>0.61527844184431069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30-4EE4-9A59-DD7F5749D29E}"/>
            </c:ext>
          </c:extLst>
        </c:ser>
        <c:ser>
          <c:idx val="3"/>
          <c:order val="1"/>
          <c:tx>
            <c:strRef>
              <c:f>'3 Public Non-Charter Poverty'!$E$10</c:f>
              <c:strCache>
                <c:ptCount val="1"/>
                <c:pt idx="0">
                  <c:v>Private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 Public Non-Charter Poverty'!$A$70:$A$77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'3 Public Non-Charter Poverty'!$R$70:$R$71</c:f>
              <c:numCache>
                <c:formatCode>0.0%</c:formatCode>
                <c:ptCount val="2"/>
                <c:pt idx="0">
                  <c:v>0.16650417072906509</c:v>
                </c:pt>
                <c:pt idx="1">
                  <c:v>0.1703127678192857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30-4EE4-9A59-DD7F5749D29E}"/>
            </c:ext>
          </c:extLst>
        </c:ser>
        <c:ser>
          <c:idx val="0"/>
          <c:order val="2"/>
          <c:tx>
            <c:strRef>
              <c:f>'3 Public Non-Charter Poverty'!$F$10</c:f>
              <c:strCache>
                <c:ptCount val="1"/>
                <c:pt idx="0">
                  <c:v>Two-year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30-4EE4-9A59-DD7F5749D29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 Public Non-Charter Poverty'!$A$70:$A$77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'3 Public Non-Charter Poverty'!$S$67:$S$71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0.2098562813707435</c:v>
                </c:pt>
                <c:pt idx="4" formatCode="0.0%">
                  <c:v>0.19980784671038981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30-4EE4-9A59-DD7F5749D29E}"/>
            </c:ext>
          </c:extLst>
        </c:ser>
        <c:ser>
          <c:idx val="1"/>
          <c:order val="3"/>
          <c:tx>
            <c:strRef>
              <c:f>'3 Public Non-Charter Poverty'!$G$10</c:f>
              <c:strCache>
                <c:ptCount val="1"/>
                <c:pt idx="0">
                  <c:v>Four-year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30-4EE4-9A59-DD7F5749D29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 Public Non-Charter Poverty'!$A$70:$A$77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'3 Public Non-Charter Poverty'!$T$67:$T$71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0.58215252952009533</c:v>
                </c:pt>
                <c:pt idx="4" formatCode="0.0%">
                  <c:v>0.58578110763290603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C30-4EE4-9A59-DD7F5749D29E}"/>
            </c:ext>
          </c:extLst>
        </c:ser>
        <c:ser>
          <c:idx val="4"/>
          <c:order val="4"/>
          <c:tx>
            <c:strRef>
              <c:f>'3 Public Non-Charter Poverty'!$H$10</c:f>
              <c:strCache>
                <c:ptCount val="1"/>
                <c:pt idx="0">
                  <c:v>In-state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C30-4EE4-9A59-DD7F5749D29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 Public Non-Charter Poverty'!$A$70:$A$77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'3 Public Non-Charter Poverty'!$U$64:$U$71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0.5754883905680136</c:v>
                </c:pt>
                <c:pt idx="7" formatCode="0.0%">
                  <c:v>0.55642585860043847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C30-4EE4-9A59-DD7F5749D29E}"/>
            </c:ext>
          </c:extLst>
        </c:ser>
        <c:ser>
          <c:idx val="5"/>
          <c:order val="5"/>
          <c:tx>
            <c:strRef>
              <c:f>'3 Public Non-Charter Poverty'!$I$10</c:f>
              <c:strCache>
                <c:ptCount val="1"/>
                <c:pt idx="0">
                  <c:v>Out-of-state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C30-4EE4-9A59-DD7F5749D29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 Public Non-Charter Poverty'!$A$70:$A$77</c:f>
              <c:numCache>
                <c:formatCode>0</c:formatCode>
                <c:ptCount val="8"/>
                <c:pt idx="0">
                  <c:v>2020</c:v>
                </c:pt>
                <c:pt idx="1">
                  <c:v>2021</c:v>
                </c:pt>
                <c:pt idx="3" formatCode="General">
                  <c:v>2020</c:v>
                </c:pt>
                <c:pt idx="4" formatCode="General">
                  <c:v>2021</c:v>
                </c:pt>
                <c:pt idx="6" formatCode="General">
                  <c:v>2020</c:v>
                </c:pt>
                <c:pt idx="7" formatCode="General">
                  <c:v>2021</c:v>
                </c:pt>
              </c:numCache>
            </c:numRef>
          </c:cat>
          <c:val>
            <c:numRef>
              <c:f>'3 Public Non-Charter Poverty'!$V$64:$V$71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0.21652944787491424</c:v>
                </c:pt>
                <c:pt idx="7" formatCode="0.0%">
                  <c:v>0.229165351063158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C30-4EE4-9A59-DD7F5749D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00272368"/>
        <c:axId val="500269624"/>
      </c:barChart>
      <c:catAx>
        <c:axId val="500272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500269624"/>
        <c:crosses val="autoZero"/>
        <c:auto val="1"/>
        <c:lblAlgn val="ctr"/>
        <c:lblOffset val="100"/>
        <c:noMultiLvlLbl val="0"/>
      </c:catAx>
      <c:valAx>
        <c:axId val="50026962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crossAx val="50027236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'9 Income Differences'!$A$61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 Income Differences'!$C$60:$I$60</c:f>
              <c:strCache>
                <c:ptCount val="7"/>
                <c:pt idx="0">
                  <c:v>Total</c:v>
                </c:pt>
                <c:pt idx="1">
                  <c:v>Public</c:v>
                </c:pt>
                <c:pt idx="2">
                  <c:v>Private</c:v>
                </c:pt>
                <c:pt idx="3">
                  <c:v>Two-year</c:v>
                </c:pt>
                <c:pt idx="4">
                  <c:v>Four-year</c:v>
                </c:pt>
                <c:pt idx="5">
                  <c:v>In-state</c:v>
                </c:pt>
                <c:pt idx="6">
                  <c:v>Out-of-state</c:v>
                </c:pt>
              </c:strCache>
            </c:strRef>
          </c:cat>
          <c:val>
            <c:numRef>
              <c:f>'9 Income Differences'!$C$61:$I$61</c:f>
              <c:numCache>
                <c:formatCode>0.0%</c:formatCode>
                <c:ptCount val="7"/>
                <c:pt idx="0">
                  <c:v>0.7832304561247837</c:v>
                </c:pt>
                <c:pt idx="1">
                  <c:v>0.77743996203966503</c:v>
                </c:pt>
                <c:pt idx="2">
                  <c:v>0.82595634320293931</c:v>
                </c:pt>
                <c:pt idx="3">
                  <c:v>0.70131543260103069</c:v>
                </c:pt>
                <c:pt idx="4">
                  <c:v>0.85217762798756325</c:v>
                </c:pt>
                <c:pt idx="5">
                  <c:v>0.77917851847150665</c:v>
                </c:pt>
                <c:pt idx="6">
                  <c:v>0.81745741647781267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4E-42DF-A40F-6F42D11E5750}"/>
            </c:ext>
          </c:extLst>
        </c:ser>
        <c:ser>
          <c:idx val="1"/>
          <c:order val="1"/>
          <c:tx>
            <c:strRef>
              <c:f>'9 Income Differences'!$A$62</c:f>
              <c:strCache>
                <c:ptCount val="1"/>
                <c:pt idx="0">
                  <c:v>2021 Adjusted to 2020 Flags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 Income Differences'!$C$60:$I$60</c:f>
              <c:strCache>
                <c:ptCount val="7"/>
                <c:pt idx="0">
                  <c:v>Total</c:v>
                </c:pt>
                <c:pt idx="1">
                  <c:v>Public</c:v>
                </c:pt>
                <c:pt idx="2">
                  <c:v>Private</c:v>
                </c:pt>
                <c:pt idx="3">
                  <c:v>Two-year</c:v>
                </c:pt>
                <c:pt idx="4">
                  <c:v>Four-year</c:v>
                </c:pt>
                <c:pt idx="5">
                  <c:v>In-state</c:v>
                </c:pt>
                <c:pt idx="6">
                  <c:v>Out-of-state</c:v>
                </c:pt>
              </c:strCache>
            </c:strRef>
          </c:cat>
          <c:val>
            <c:numRef>
              <c:f>'9 Income Differences'!$C$62:$I$62</c:f>
              <c:numCache>
                <c:formatCode>0.0%</c:formatCode>
                <c:ptCount val="7"/>
                <c:pt idx="0">
                  <c:v>0.78028628760067686</c:v>
                </c:pt>
                <c:pt idx="1">
                  <c:v>0.77437434310327935</c:v>
                </c:pt>
                <c:pt idx="2">
                  <c:v>0.82099947127568418</c:v>
                </c:pt>
                <c:pt idx="3">
                  <c:v>0.69775732598417228</c:v>
                </c:pt>
                <c:pt idx="4">
                  <c:v>0.84991843393148447</c:v>
                </c:pt>
                <c:pt idx="5">
                  <c:v>0.77585558383074316</c:v>
                </c:pt>
                <c:pt idx="6">
                  <c:v>0.81656930430164631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4E-42DF-A40F-6F42D11E5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-27"/>
        <c:axId val="353050479"/>
        <c:axId val="353046639"/>
      </c:barChart>
      <c:catAx>
        <c:axId val="3530504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046639"/>
        <c:crosses val="autoZero"/>
        <c:auto val="1"/>
        <c:lblAlgn val="ctr"/>
        <c:lblOffset val="100"/>
        <c:noMultiLvlLbl val="0"/>
      </c:catAx>
      <c:valAx>
        <c:axId val="353046639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050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'9 Income Differences'!$A$61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 Income Differences'!$C$60:$I$60</c:f>
              <c:strCache>
                <c:ptCount val="7"/>
                <c:pt idx="0">
                  <c:v>Total</c:v>
                </c:pt>
                <c:pt idx="1">
                  <c:v>Public</c:v>
                </c:pt>
                <c:pt idx="2">
                  <c:v>Private</c:v>
                </c:pt>
                <c:pt idx="3">
                  <c:v>Two-year</c:v>
                </c:pt>
                <c:pt idx="4">
                  <c:v>Four-year</c:v>
                </c:pt>
                <c:pt idx="5">
                  <c:v>In-state</c:v>
                </c:pt>
                <c:pt idx="6">
                  <c:v>Out-of-state</c:v>
                </c:pt>
              </c:strCache>
            </c:strRef>
          </c:cat>
          <c:val>
            <c:numRef>
              <c:f>'9 Income Differences'!$N$61:$T$61</c:f>
              <c:numCache>
                <c:formatCode>0.0%</c:formatCode>
                <c:ptCount val="7"/>
                <c:pt idx="0">
                  <c:v>0.86713052526148371</c:v>
                </c:pt>
                <c:pt idx="1">
                  <c:v>0.85398516357187781</c:v>
                </c:pt>
                <c:pt idx="2">
                  <c:v>0.91799779572010631</c:v>
                </c:pt>
                <c:pt idx="3">
                  <c:v>0.74065756409580541</c:v>
                </c:pt>
                <c:pt idx="4">
                  <c:v>0.91914797674828663</c:v>
                </c:pt>
                <c:pt idx="5">
                  <c:v>0.85026298068069861</c:v>
                </c:pt>
                <c:pt idx="6">
                  <c:v>0.92111013610007053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D-47F3-82E7-946CE06BE87C}"/>
            </c:ext>
          </c:extLst>
        </c:ser>
        <c:ser>
          <c:idx val="1"/>
          <c:order val="1"/>
          <c:tx>
            <c:strRef>
              <c:f>'9 Income Differences'!$A$62</c:f>
              <c:strCache>
                <c:ptCount val="1"/>
                <c:pt idx="0">
                  <c:v>2021 Adjusted to 2020 Flags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 Income Differences'!$C$60:$I$60</c:f>
              <c:strCache>
                <c:ptCount val="7"/>
                <c:pt idx="0">
                  <c:v>Total</c:v>
                </c:pt>
                <c:pt idx="1">
                  <c:v>Public</c:v>
                </c:pt>
                <c:pt idx="2">
                  <c:v>Private</c:v>
                </c:pt>
                <c:pt idx="3">
                  <c:v>Two-year</c:v>
                </c:pt>
                <c:pt idx="4">
                  <c:v>Four-year</c:v>
                </c:pt>
                <c:pt idx="5">
                  <c:v>In-state</c:v>
                </c:pt>
                <c:pt idx="6">
                  <c:v>Out-of-state</c:v>
                </c:pt>
              </c:strCache>
            </c:strRef>
          </c:cat>
          <c:val>
            <c:numRef>
              <c:f>'9 Income Differences'!$N$62:$T$62</c:f>
              <c:numCache>
                <c:formatCode>0.0%</c:formatCode>
                <c:ptCount val="7"/>
                <c:pt idx="0">
                  <c:v>0.87254093697198443</c:v>
                </c:pt>
                <c:pt idx="1">
                  <c:v>0.85930904498833172</c:v>
                </c:pt>
                <c:pt idx="2">
                  <c:v>0.92352818589142438</c:v>
                </c:pt>
                <c:pt idx="3">
                  <c:v>0.74642472588301312</c:v>
                </c:pt>
                <c:pt idx="4">
                  <c:v>0.92236055538251427</c:v>
                </c:pt>
                <c:pt idx="5">
                  <c:v>0.85599674379818358</c:v>
                </c:pt>
                <c:pt idx="6">
                  <c:v>0.92405868272993053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D-47F3-82E7-946CE06BE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-27"/>
        <c:axId val="353050479"/>
        <c:axId val="353046639"/>
      </c:barChart>
      <c:catAx>
        <c:axId val="3530504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046639"/>
        <c:crosses val="autoZero"/>
        <c:auto val="1"/>
        <c:lblAlgn val="ctr"/>
        <c:lblOffset val="100"/>
        <c:noMultiLvlLbl val="0"/>
      </c:catAx>
      <c:valAx>
        <c:axId val="353046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050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'10 Poverty Differences'!$B$6</c:f>
              <c:strCache>
                <c:ptCount val="1"/>
                <c:pt idx="0">
                  <c:v>N Schools in NSC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3333333333333592E-3"/>
                  <c:y val="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FC-46BE-BB36-65CD9A020410}"/>
                </c:ext>
              </c:extLst>
            </c:dLbl>
            <c:dLbl>
              <c:idx val="1"/>
              <c:layout>
                <c:manualLayout>
                  <c:x val="-1.6666666666666718E-2"/>
                  <c:y val="-3.2407407407407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FC-46BE-BB36-65CD9A020410}"/>
                </c:ext>
              </c:extLst>
            </c:dLbl>
            <c:dLbl>
              <c:idx val="2"/>
              <c:layout>
                <c:manualLayout>
                  <c:x val="-5.5555555555555558E-3"/>
                  <c:y val="3.70370370370369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FC-46BE-BB36-65CD9A020410}"/>
                </c:ext>
              </c:extLst>
            </c:dLbl>
            <c:dLbl>
              <c:idx val="3"/>
              <c:layout>
                <c:manualLayout>
                  <c:x val="0"/>
                  <c:y val="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FC-46BE-BB36-65CD9A0204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 Poverty Differences'!$A$7:$A$11</c:f>
              <c:strCache>
                <c:ptCount val="5"/>
                <c:pt idx="0">
                  <c:v>Class of 2017</c:v>
                </c:pt>
                <c:pt idx="1">
                  <c:v>Class of 2020</c:v>
                </c:pt>
                <c:pt idx="2">
                  <c:v>Class of 2021</c:v>
                </c:pt>
                <c:pt idx="3">
                  <c:v>Class of 2022</c:v>
                </c:pt>
                <c:pt idx="4">
                  <c:v>Class of 2023</c:v>
                </c:pt>
              </c:strCache>
            </c:strRef>
          </c:cat>
          <c:val>
            <c:numRef>
              <c:f>'10 Poverty Differences'!$B$7:$B$11</c:f>
              <c:numCache>
                <c:formatCode>#,##0</c:formatCode>
                <c:ptCount val="5"/>
                <c:pt idx="0">
                  <c:v>1556</c:v>
                </c:pt>
                <c:pt idx="1">
                  <c:v>1818</c:v>
                </c:pt>
                <c:pt idx="2">
                  <c:v>1759</c:v>
                </c:pt>
                <c:pt idx="3">
                  <c:v>1805</c:v>
                </c:pt>
                <c:pt idx="4">
                  <c:v>1960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FC-46BE-BB36-65CD9A020410}"/>
            </c:ext>
          </c:extLst>
        </c:ser>
        <c:ser>
          <c:idx val="1"/>
          <c:order val="1"/>
          <c:tx>
            <c:strRef>
              <c:f>'10 Poverty Differences'!$C$6</c:f>
              <c:strCache>
                <c:ptCount val="1"/>
                <c:pt idx="0">
                  <c:v>N Schools in NCES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166666666666672E-2"/>
                  <c:y val="3.7037037037037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FC-46BE-BB36-65CD9A020410}"/>
                </c:ext>
              </c:extLst>
            </c:dLbl>
            <c:dLbl>
              <c:idx val="2"/>
              <c:layout>
                <c:manualLayout>
                  <c:x val="-1.3888888888888888E-2"/>
                  <c:y val="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FFC-46BE-BB36-65CD9A0204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 Poverty Differences'!$A$7:$A$11</c:f>
              <c:strCache>
                <c:ptCount val="5"/>
                <c:pt idx="0">
                  <c:v>Class of 2017</c:v>
                </c:pt>
                <c:pt idx="1">
                  <c:v>Class of 2020</c:v>
                </c:pt>
                <c:pt idx="2">
                  <c:v>Class of 2021</c:v>
                </c:pt>
                <c:pt idx="3">
                  <c:v>Class of 2022</c:v>
                </c:pt>
                <c:pt idx="4">
                  <c:v>Class of 2023</c:v>
                </c:pt>
              </c:strCache>
            </c:strRef>
          </c:cat>
          <c:val>
            <c:numRef>
              <c:f>'10 Poverty Differences'!$C$7:$C$11</c:f>
              <c:numCache>
                <c:formatCode>#,##0</c:formatCode>
                <c:ptCount val="5"/>
                <c:pt idx="0">
                  <c:v>2617</c:v>
                </c:pt>
                <c:pt idx="1">
                  <c:v>2864</c:v>
                </c:pt>
                <c:pt idx="2">
                  <c:v>2713</c:v>
                </c:pt>
                <c:pt idx="3">
                  <c:v>2640</c:v>
                </c:pt>
                <c:pt idx="4">
                  <c:v>3340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FFC-46BE-BB36-65CD9A020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597759"/>
        <c:axId val="431598719"/>
      </c:lineChart>
      <c:catAx>
        <c:axId val="43159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598719"/>
        <c:crosses val="autoZero"/>
        <c:auto val="1"/>
        <c:lblAlgn val="ctr"/>
        <c:lblOffset val="100"/>
        <c:noMultiLvlLbl val="0"/>
      </c:catAx>
      <c:valAx>
        <c:axId val="431598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59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'10 Poverty Differences'!$N$6</c:f>
              <c:strCache>
                <c:ptCount val="1"/>
                <c:pt idx="0">
                  <c:v>N Schools in NSC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3333333333333361E-2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8C-4662-BE82-1DB93D5AEE83}"/>
                </c:ext>
              </c:extLst>
            </c:dLbl>
            <c:dLbl>
              <c:idx val="1"/>
              <c:layout>
                <c:manualLayout>
                  <c:x val="-1.6666666666666666E-2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8C-4662-BE82-1DB93D5AEE83}"/>
                </c:ext>
              </c:extLst>
            </c:dLbl>
            <c:dLbl>
              <c:idx val="2"/>
              <c:layout>
                <c:manualLayout>
                  <c:x val="-1.6666666666666666E-2"/>
                  <c:y val="-3.2407407407407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8C-4662-BE82-1DB93D5AEE83}"/>
                </c:ext>
              </c:extLst>
            </c:dLbl>
            <c:dLbl>
              <c:idx val="3"/>
              <c:layout>
                <c:manualLayout>
                  <c:x val="-2.7777777777777776E-2"/>
                  <c:y val="-3.7037037037037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8C-4662-BE82-1DB93D5AEE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 Poverty Differences'!$A$7:$A$11</c:f>
              <c:strCache>
                <c:ptCount val="5"/>
                <c:pt idx="0">
                  <c:v>Class of 2017</c:v>
                </c:pt>
                <c:pt idx="1">
                  <c:v>Class of 2020</c:v>
                </c:pt>
                <c:pt idx="2">
                  <c:v>Class of 2021</c:v>
                </c:pt>
                <c:pt idx="3">
                  <c:v>Class of 2022</c:v>
                </c:pt>
                <c:pt idx="4">
                  <c:v>Class of 2023</c:v>
                </c:pt>
              </c:strCache>
            </c:strRef>
          </c:cat>
          <c:val>
            <c:numRef>
              <c:f>'10 Poverty Differences'!$N$7:$N$11</c:f>
              <c:numCache>
                <c:formatCode>#,##0</c:formatCode>
                <c:ptCount val="5"/>
                <c:pt idx="0">
                  <c:v>2024</c:v>
                </c:pt>
                <c:pt idx="1">
                  <c:v>2027</c:v>
                </c:pt>
                <c:pt idx="2">
                  <c:v>1683</c:v>
                </c:pt>
                <c:pt idx="3">
                  <c:v>2193</c:v>
                </c:pt>
                <c:pt idx="4">
                  <c:v>1593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F8C-4662-BE82-1DB93D5AEE83}"/>
            </c:ext>
          </c:extLst>
        </c:ser>
        <c:ser>
          <c:idx val="1"/>
          <c:order val="1"/>
          <c:tx>
            <c:strRef>
              <c:f>'10 Poverty Differences'!$O$6</c:f>
              <c:strCache>
                <c:ptCount val="1"/>
                <c:pt idx="0">
                  <c:v>N Schools in NCES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1666666666666664E-2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8C-4662-BE82-1DB93D5AEE83}"/>
                </c:ext>
              </c:extLst>
            </c:dLbl>
            <c:dLbl>
              <c:idx val="1"/>
              <c:layout>
                <c:manualLayout>
                  <c:x val="-2.2222222222222223E-2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F8C-4662-BE82-1DB93D5AEE83}"/>
                </c:ext>
              </c:extLst>
            </c:dLbl>
            <c:dLbl>
              <c:idx val="2"/>
              <c:layout>
                <c:manualLayout>
                  <c:x val="-3.6111111111111108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8C-4662-BE82-1DB93D5AEE83}"/>
                </c:ext>
              </c:extLst>
            </c:dLbl>
            <c:dLbl>
              <c:idx val="3"/>
              <c:layout>
                <c:manualLayout>
                  <c:x val="-2.5000000000000102E-2"/>
                  <c:y val="-3.2407407407407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F8C-4662-BE82-1DB93D5AEE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 Poverty Differences'!$A$7:$A$11</c:f>
              <c:strCache>
                <c:ptCount val="5"/>
                <c:pt idx="0">
                  <c:v>Class of 2017</c:v>
                </c:pt>
                <c:pt idx="1">
                  <c:v>Class of 2020</c:v>
                </c:pt>
                <c:pt idx="2">
                  <c:v>Class of 2021</c:v>
                </c:pt>
                <c:pt idx="3">
                  <c:v>Class of 2022</c:v>
                </c:pt>
                <c:pt idx="4">
                  <c:v>Class of 2023</c:v>
                </c:pt>
              </c:strCache>
            </c:strRef>
          </c:cat>
          <c:val>
            <c:numRef>
              <c:f>'10 Poverty Differences'!$O$7:$O$11</c:f>
              <c:numCache>
                <c:formatCode>#,##0</c:formatCode>
                <c:ptCount val="5"/>
                <c:pt idx="0">
                  <c:v>2861</c:v>
                </c:pt>
                <c:pt idx="1">
                  <c:v>2811</c:v>
                </c:pt>
                <c:pt idx="2">
                  <c:v>2426</c:v>
                </c:pt>
                <c:pt idx="3">
                  <c:v>3091</c:v>
                </c:pt>
                <c:pt idx="4">
                  <c:v>2411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F8C-4662-BE82-1DB93D5AE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597759"/>
        <c:axId val="431598719"/>
      </c:lineChart>
      <c:catAx>
        <c:axId val="43159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598719"/>
        <c:crosses val="autoZero"/>
        <c:auto val="1"/>
        <c:lblAlgn val="ctr"/>
        <c:lblOffset val="100"/>
        <c:noMultiLvlLbl val="0"/>
      </c:catAx>
      <c:valAx>
        <c:axId val="431598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59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10395387323573"/>
          <c:y val="3.9007529729678886E-2"/>
          <c:w val="0.86844490824189147"/>
          <c:h val="0.7770683013482629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'5 Public Non-Charter Minority'!$D$10</c:f>
              <c:strCache>
                <c:ptCount val="1"/>
                <c:pt idx="0">
                  <c:v>Public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'10 Poverty Differences'!$A$33:$A$41</c:f>
              <c:strCache>
                <c:ptCount val="8"/>
                <c:pt idx="0">
                  <c:v>2023</c:v>
                </c:pt>
                <c:pt idx="1">
                  <c:v>2023 Adjusted to 2022 Flags</c:v>
                </c:pt>
                <c:pt idx="3">
                  <c:v>2023</c:v>
                </c:pt>
                <c:pt idx="4">
                  <c:v>2023 Adjusted to 2022 Flags</c:v>
                </c:pt>
                <c:pt idx="6">
                  <c:v>2023</c:v>
                </c:pt>
                <c:pt idx="7">
                  <c:v>2023 Adjusted to 2022 Flags</c:v>
                </c:pt>
              </c:strCache>
            </c:strRef>
          </c:cat>
          <c:val>
            <c:numRef>
              <c:f>'10 Poverty Differences'!$D$33:$D$34</c:f>
              <c:numCache>
                <c:formatCode>0.0%</c:formatCode>
                <c:ptCount val="2"/>
                <c:pt idx="0">
                  <c:v>0.44522032749793988</c:v>
                </c:pt>
                <c:pt idx="1">
                  <c:v>0.44915830222318537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13-44BF-91ED-687076401D20}"/>
            </c:ext>
          </c:extLst>
        </c:ser>
        <c:ser>
          <c:idx val="3"/>
          <c:order val="1"/>
          <c:tx>
            <c:strRef>
              <c:f>'5 Public Non-Charter Minority'!$E$10</c:f>
              <c:strCache>
                <c:ptCount val="1"/>
                <c:pt idx="0">
                  <c:v>Private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'10 Poverty Differences'!$A$33:$A$41</c:f>
              <c:strCache>
                <c:ptCount val="8"/>
                <c:pt idx="0">
                  <c:v>2023</c:v>
                </c:pt>
                <c:pt idx="1">
                  <c:v>2023 Adjusted to 2022 Flags</c:v>
                </c:pt>
                <c:pt idx="3">
                  <c:v>2023</c:v>
                </c:pt>
                <c:pt idx="4">
                  <c:v>2023 Adjusted to 2022 Flags</c:v>
                </c:pt>
                <c:pt idx="6">
                  <c:v>2023</c:v>
                </c:pt>
                <c:pt idx="7">
                  <c:v>2023 Adjusted to 2022 Flags</c:v>
                </c:pt>
              </c:strCache>
            </c:strRef>
          </c:cat>
          <c:val>
            <c:numRef>
              <c:f>'10 Poverty Differences'!$E$33:$E$34</c:f>
              <c:numCache>
                <c:formatCode>0.0%</c:formatCode>
                <c:ptCount val="2"/>
                <c:pt idx="0">
                  <c:v>5.9415350425092668E-2</c:v>
                </c:pt>
                <c:pt idx="1">
                  <c:v>5.6671361918552154E-2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13-44BF-91ED-687076401D20}"/>
            </c:ext>
          </c:extLst>
        </c:ser>
        <c:ser>
          <c:idx val="0"/>
          <c:order val="2"/>
          <c:tx>
            <c:strRef>
              <c:f>'5 Public Non-Charter Minority'!$F$10</c:f>
              <c:strCache>
                <c:ptCount val="1"/>
                <c:pt idx="0">
                  <c:v>Two-year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13-44BF-91ED-687076401D2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'10 Poverty Differences'!$A$33:$A$41</c:f>
              <c:strCache>
                <c:ptCount val="8"/>
                <c:pt idx="0">
                  <c:v>2023</c:v>
                </c:pt>
                <c:pt idx="1">
                  <c:v>2023 Adjusted to 2022 Flags</c:v>
                </c:pt>
                <c:pt idx="3">
                  <c:v>2023</c:v>
                </c:pt>
                <c:pt idx="4">
                  <c:v>2023 Adjusted to 2022 Flags</c:v>
                </c:pt>
                <c:pt idx="6">
                  <c:v>2023</c:v>
                </c:pt>
                <c:pt idx="7">
                  <c:v>2023 Adjusted to 2022 Flags</c:v>
                </c:pt>
              </c:strCache>
            </c:strRef>
          </c:cat>
          <c:val>
            <c:numRef>
              <c:f>'10 Poverty Differences'!$F$30:$F$34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0.22448797939571088</c:v>
                </c:pt>
                <c:pt idx="4" formatCode="0.0%">
                  <c:v>0.22771643305325992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13-44BF-91ED-687076401D20}"/>
            </c:ext>
          </c:extLst>
        </c:ser>
        <c:ser>
          <c:idx val="1"/>
          <c:order val="3"/>
          <c:tx>
            <c:strRef>
              <c:f>'5 Public Non-Charter Minority'!$G$10</c:f>
              <c:strCache>
                <c:ptCount val="1"/>
                <c:pt idx="0">
                  <c:v>Four-year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13-44BF-91ED-687076401D2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'10 Poverty Differences'!$A$33:$A$41</c:f>
              <c:strCache>
                <c:ptCount val="8"/>
                <c:pt idx="0">
                  <c:v>2023</c:v>
                </c:pt>
                <c:pt idx="1">
                  <c:v>2023 Adjusted to 2022 Flags</c:v>
                </c:pt>
                <c:pt idx="3">
                  <c:v>2023</c:v>
                </c:pt>
                <c:pt idx="4">
                  <c:v>2023 Adjusted to 2022 Flags</c:v>
                </c:pt>
                <c:pt idx="6">
                  <c:v>2023</c:v>
                </c:pt>
                <c:pt idx="7">
                  <c:v>2023 Adjusted to 2022 Flags</c:v>
                </c:pt>
              </c:strCache>
            </c:strRef>
          </c:cat>
          <c:val>
            <c:numRef>
              <c:f>'10 Poverty Differences'!$G$30:$G$34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0.28014769852732163</c:v>
                </c:pt>
                <c:pt idx="4" formatCode="0.0%">
                  <c:v>0.27811323108847757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13-44BF-91ED-687076401D20}"/>
            </c:ext>
          </c:extLst>
        </c:ser>
        <c:ser>
          <c:idx val="4"/>
          <c:order val="4"/>
          <c:tx>
            <c:strRef>
              <c:f>'5 Public Non-Charter Minority'!$H$10</c:f>
              <c:strCache>
                <c:ptCount val="1"/>
                <c:pt idx="0">
                  <c:v>In-state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613-44BF-91ED-687076401D2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'10 Poverty Differences'!$A$33:$A$41</c:f>
              <c:strCache>
                <c:ptCount val="8"/>
                <c:pt idx="0">
                  <c:v>2023</c:v>
                </c:pt>
                <c:pt idx="1">
                  <c:v>2023 Adjusted to 2022 Flags</c:v>
                </c:pt>
                <c:pt idx="3">
                  <c:v>2023</c:v>
                </c:pt>
                <c:pt idx="4">
                  <c:v>2023 Adjusted to 2022 Flags</c:v>
                </c:pt>
                <c:pt idx="6">
                  <c:v>2023</c:v>
                </c:pt>
                <c:pt idx="7">
                  <c:v>2023 Adjusted to 2022 Flags</c:v>
                </c:pt>
              </c:strCache>
            </c:strRef>
          </c:cat>
          <c:val>
            <c:numRef>
              <c:f>'10 Poverty Differences'!$H$27:$H$34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0.46105829555210365</c:v>
                </c:pt>
                <c:pt idx="7" formatCode="0.0%">
                  <c:v>0.46617284437045864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613-44BF-91ED-687076401D20}"/>
            </c:ext>
          </c:extLst>
        </c:ser>
        <c:ser>
          <c:idx val="5"/>
          <c:order val="5"/>
          <c:tx>
            <c:strRef>
              <c:f>'5 Public Non-Charter Minority'!$I$10</c:f>
              <c:strCache>
                <c:ptCount val="1"/>
                <c:pt idx="0">
                  <c:v>Out-of-state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613-44BF-91ED-687076401D2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'10 Poverty Differences'!$A$33:$A$41</c:f>
              <c:strCache>
                <c:ptCount val="8"/>
                <c:pt idx="0">
                  <c:v>2023</c:v>
                </c:pt>
                <c:pt idx="1">
                  <c:v>2023 Adjusted to 2022 Flags</c:v>
                </c:pt>
                <c:pt idx="3">
                  <c:v>2023</c:v>
                </c:pt>
                <c:pt idx="4">
                  <c:v>2023 Adjusted to 2022 Flags</c:v>
                </c:pt>
                <c:pt idx="6">
                  <c:v>2023</c:v>
                </c:pt>
                <c:pt idx="7">
                  <c:v>2023 Adjusted to 2022 Flags</c:v>
                </c:pt>
              </c:strCache>
            </c:strRef>
          </c:cat>
          <c:val>
            <c:numRef>
              <c:f>'10 Poverty Differences'!$I$27:$I$34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4.357738237092889E-2</c:v>
                </c:pt>
                <c:pt idx="7" formatCode="0.0%">
                  <c:v>3.9656819771278849E-2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613-44BF-91ED-687076401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00272368"/>
        <c:axId val="500269624"/>
      </c:barChart>
      <c:catAx>
        <c:axId val="50027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00269624"/>
        <c:crosses val="autoZero"/>
        <c:auto val="1"/>
        <c:lblAlgn val="ctr"/>
        <c:lblOffset val="100"/>
        <c:noMultiLvlLbl val="0"/>
      </c:catAx>
      <c:valAx>
        <c:axId val="50026962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crossAx val="50027236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10395387323573"/>
          <c:y val="3.9007529729678886E-2"/>
          <c:w val="0.86844490824189147"/>
          <c:h val="0.7770683013482629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'5 Public Non-Charter Minority'!$D$10</c:f>
              <c:strCache>
                <c:ptCount val="1"/>
                <c:pt idx="0">
                  <c:v>Public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'10 Poverty Differences'!$A$33:$A$41</c:f>
              <c:strCache>
                <c:ptCount val="8"/>
                <c:pt idx="0">
                  <c:v>2023</c:v>
                </c:pt>
                <c:pt idx="1">
                  <c:v>2023 Adjusted to 2022 Flags</c:v>
                </c:pt>
                <c:pt idx="3">
                  <c:v>2023</c:v>
                </c:pt>
                <c:pt idx="4">
                  <c:v>2023 Adjusted to 2022 Flags</c:v>
                </c:pt>
                <c:pt idx="6">
                  <c:v>2023</c:v>
                </c:pt>
                <c:pt idx="7">
                  <c:v>2023 Adjusted to 2022 Flags</c:v>
                </c:pt>
              </c:strCache>
            </c:strRef>
          </c:cat>
          <c:val>
            <c:numRef>
              <c:f>'10 Poverty Differences'!$O$33:$O$34</c:f>
              <c:numCache>
                <c:formatCode>0.0%</c:formatCode>
                <c:ptCount val="2"/>
                <c:pt idx="0">
                  <c:v>0.57372263528001533</c:v>
                </c:pt>
                <c:pt idx="1">
                  <c:v>0.56163319279342205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61-4ACD-9CD0-4B6EFF5A478B}"/>
            </c:ext>
          </c:extLst>
        </c:ser>
        <c:ser>
          <c:idx val="3"/>
          <c:order val="1"/>
          <c:tx>
            <c:strRef>
              <c:f>'5 Public Non-Charter Minority'!$E$10</c:f>
              <c:strCache>
                <c:ptCount val="1"/>
                <c:pt idx="0">
                  <c:v>Private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'10 Poverty Differences'!$A$33:$A$41</c:f>
              <c:strCache>
                <c:ptCount val="8"/>
                <c:pt idx="0">
                  <c:v>2023</c:v>
                </c:pt>
                <c:pt idx="1">
                  <c:v>2023 Adjusted to 2022 Flags</c:v>
                </c:pt>
                <c:pt idx="3">
                  <c:v>2023</c:v>
                </c:pt>
                <c:pt idx="4">
                  <c:v>2023 Adjusted to 2022 Flags</c:v>
                </c:pt>
                <c:pt idx="6">
                  <c:v>2023</c:v>
                </c:pt>
                <c:pt idx="7">
                  <c:v>2023 Adjusted to 2022 Flags</c:v>
                </c:pt>
              </c:strCache>
            </c:strRef>
          </c:cat>
          <c:val>
            <c:numRef>
              <c:f>'10 Poverty Differences'!$P$33:$P$34</c:f>
              <c:numCache>
                <c:formatCode>0.0%</c:formatCode>
                <c:ptCount val="2"/>
                <c:pt idx="0">
                  <c:v>0.1589569243010597</c:v>
                </c:pt>
                <c:pt idx="1">
                  <c:v>0.14951118400787913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61-4ACD-9CD0-4B6EFF5A478B}"/>
            </c:ext>
          </c:extLst>
        </c:ser>
        <c:ser>
          <c:idx val="0"/>
          <c:order val="2"/>
          <c:tx>
            <c:strRef>
              <c:f>'5 Public Non-Charter Minority'!$F$10</c:f>
              <c:strCache>
                <c:ptCount val="1"/>
                <c:pt idx="0">
                  <c:v>Two-year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61-4ACD-9CD0-4B6EFF5A47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'10 Poverty Differences'!$A$33:$A$41</c:f>
              <c:strCache>
                <c:ptCount val="8"/>
                <c:pt idx="0">
                  <c:v>2023</c:v>
                </c:pt>
                <c:pt idx="1">
                  <c:v>2023 Adjusted to 2022 Flags</c:v>
                </c:pt>
                <c:pt idx="3">
                  <c:v>2023</c:v>
                </c:pt>
                <c:pt idx="4">
                  <c:v>2023 Adjusted to 2022 Flags</c:v>
                </c:pt>
                <c:pt idx="6">
                  <c:v>2023</c:v>
                </c:pt>
                <c:pt idx="7">
                  <c:v>2023 Adjusted to 2022 Flags</c:v>
                </c:pt>
              </c:strCache>
            </c:strRef>
          </c:cat>
          <c:val>
            <c:numRef>
              <c:f>'10 Poverty Differences'!$Q$30:$Q$34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0.14291397777238132</c:v>
                </c:pt>
                <c:pt idx="4" formatCode="0.0%">
                  <c:v>0.16406285253511371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61-4ACD-9CD0-4B6EFF5A478B}"/>
            </c:ext>
          </c:extLst>
        </c:ser>
        <c:ser>
          <c:idx val="1"/>
          <c:order val="3"/>
          <c:tx>
            <c:strRef>
              <c:f>'5 Public Non-Charter Minority'!$G$10</c:f>
              <c:strCache>
                <c:ptCount val="1"/>
                <c:pt idx="0">
                  <c:v>Four-year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61-4ACD-9CD0-4B6EFF5A47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'10 Poverty Differences'!$A$33:$A$41</c:f>
              <c:strCache>
                <c:ptCount val="8"/>
                <c:pt idx="0">
                  <c:v>2023</c:v>
                </c:pt>
                <c:pt idx="1">
                  <c:v>2023 Adjusted to 2022 Flags</c:v>
                </c:pt>
                <c:pt idx="3">
                  <c:v>2023</c:v>
                </c:pt>
                <c:pt idx="4">
                  <c:v>2023 Adjusted to 2022 Flags</c:v>
                </c:pt>
                <c:pt idx="6">
                  <c:v>2023</c:v>
                </c:pt>
                <c:pt idx="7">
                  <c:v>2023 Adjusted to 2022 Flags</c:v>
                </c:pt>
              </c:strCache>
            </c:strRef>
          </c:cat>
          <c:val>
            <c:numRef>
              <c:f>'10 Poverty Differences'!$R$30:$R$34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0.58976558180869365</c:v>
                </c:pt>
                <c:pt idx="4" formatCode="0.0%">
                  <c:v>0.54708152426618739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61-4ACD-9CD0-4B6EFF5A478B}"/>
            </c:ext>
          </c:extLst>
        </c:ser>
        <c:ser>
          <c:idx val="4"/>
          <c:order val="4"/>
          <c:tx>
            <c:strRef>
              <c:f>'5 Public Non-Charter Minority'!$H$10</c:f>
              <c:strCache>
                <c:ptCount val="1"/>
                <c:pt idx="0">
                  <c:v>In-state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61-4ACD-9CD0-4B6EFF5A47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'10 Poverty Differences'!$A$33:$A$41</c:f>
              <c:strCache>
                <c:ptCount val="8"/>
                <c:pt idx="0">
                  <c:v>2023</c:v>
                </c:pt>
                <c:pt idx="1">
                  <c:v>2023 Adjusted to 2022 Flags</c:v>
                </c:pt>
                <c:pt idx="3">
                  <c:v>2023</c:v>
                </c:pt>
                <c:pt idx="4">
                  <c:v>2023 Adjusted to 2022 Flags</c:v>
                </c:pt>
                <c:pt idx="6">
                  <c:v>2023</c:v>
                </c:pt>
                <c:pt idx="7">
                  <c:v>2023 Adjusted to 2022 Flags</c:v>
                </c:pt>
              </c:strCache>
            </c:strRef>
          </c:cat>
          <c:val>
            <c:numRef>
              <c:f>'10 Poverty Differences'!$S$27:$S$34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0.51322186800865954</c:v>
                </c:pt>
                <c:pt idx="7" formatCode="0.0%">
                  <c:v>0.50069158192744379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F61-4ACD-9CD0-4B6EFF5A478B}"/>
            </c:ext>
          </c:extLst>
        </c:ser>
        <c:ser>
          <c:idx val="5"/>
          <c:order val="5"/>
          <c:tx>
            <c:strRef>
              <c:f>'5 Public Non-Charter Minority'!$I$10</c:f>
              <c:strCache>
                <c:ptCount val="1"/>
                <c:pt idx="0">
                  <c:v>Out-of-state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61-4ACD-9CD0-4B6EFF5A47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'10 Poverty Differences'!$A$33:$A$41</c:f>
              <c:strCache>
                <c:ptCount val="8"/>
                <c:pt idx="0">
                  <c:v>2023</c:v>
                </c:pt>
                <c:pt idx="1">
                  <c:v>2023 Adjusted to 2022 Flags</c:v>
                </c:pt>
                <c:pt idx="3">
                  <c:v>2023</c:v>
                </c:pt>
                <c:pt idx="4">
                  <c:v>2023 Adjusted to 2022 Flags</c:v>
                </c:pt>
                <c:pt idx="6">
                  <c:v>2023</c:v>
                </c:pt>
                <c:pt idx="7">
                  <c:v>2023 Adjusted to 2022 Flags</c:v>
                </c:pt>
              </c:strCache>
            </c:strRef>
          </c:cat>
          <c:val>
            <c:numRef>
              <c:f>'10 Poverty Differences'!$T$27:$T$34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0.21945769157241543</c:v>
                </c:pt>
                <c:pt idx="7" formatCode="0.0%">
                  <c:v>0.21045279487385743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F61-4ACD-9CD0-4B6EFF5A4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00272368"/>
        <c:axId val="500269624"/>
      </c:barChart>
      <c:catAx>
        <c:axId val="50027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00269624"/>
        <c:crosses val="autoZero"/>
        <c:auto val="1"/>
        <c:lblAlgn val="ctr"/>
        <c:lblOffset val="100"/>
        <c:noMultiLvlLbl val="0"/>
      </c:catAx>
      <c:valAx>
        <c:axId val="50026962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crossAx val="50027236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 Poverty Differences'!$A$61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 Poverty Differences'!$C$60:$I$60</c:f>
              <c:strCache>
                <c:ptCount val="7"/>
                <c:pt idx="0">
                  <c:v>Total</c:v>
                </c:pt>
                <c:pt idx="1">
                  <c:v>Public</c:v>
                </c:pt>
                <c:pt idx="2">
                  <c:v>Private</c:v>
                </c:pt>
                <c:pt idx="3">
                  <c:v>Two-year</c:v>
                </c:pt>
                <c:pt idx="4">
                  <c:v>Four-year</c:v>
                </c:pt>
                <c:pt idx="5">
                  <c:v>In-state</c:v>
                </c:pt>
                <c:pt idx="6">
                  <c:v>Out-of-state</c:v>
                </c:pt>
              </c:strCache>
            </c:strRef>
          </c:cat>
          <c:val>
            <c:numRef>
              <c:f>'10 Poverty Differences'!$C$61:$I$61</c:f>
              <c:numCache>
                <c:formatCode>0.0%</c:formatCode>
                <c:ptCount val="7"/>
                <c:pt idx="0">
                  <c:v>0.76019195990591126</c:v>
                </c:pt>
                <c:pt idx="1">
                  <c:v>0.75620757059460597</c:v>
                </c:pt>
                <c:pt idx="2">
                  <c:v>0.79413750421964668</c:v>
                </c:pt>
                <c:pt idx="3">
                  <c:v>0.68622935881490965</c:v>
                </c:pt>
                <c:pt idx="4">
                  <c:v>0.82868575715893456</c:v>
                </c:pt>
                <c:pt idx="5">
                  <c:v>0.75795653049164569</c:v>
                </c:pt>
                <c:pt idx="6">
                  <c:v>0.78282595831415613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C0-40D8-9BCD-F067E37856E0}"/>
            </c:ext>
          </c:extLst>
        </c:ser>
        <c:ser>
          <c:idx val="1"/>
          <c:order val="1"/>
          <c:tx>
            <c:strRef>
              <c:f>'10 Poverty Differences'!$A$62</c:f>
              <c:strCache>
                <c:ptCount val="1"/>
                <c:pt idx="0">
                  <c:v>2021 Adjusted to 2020 Flags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 Poverty Differences'!$C$60:$I$60</c:f>
              <c:strCache>
                <c:ptCount val="7"/>
                <c:pt idx="0">
                  <c:v>Total</c:v>
                </c:pt>
                <c:pt idx="1">
                  <c:v>Public</c:v>
                </c:pt>
                <c:pt idx="2">
                  <c:v>Private</c:v>
                </c:pt>
                <c:pt idx="3">
                  <c:v>Two-year</c:v>
                </c:pt>
                <c:pt idx="4">
                  <c:v>Four-year</c:v>
                </c:pt>
                <c:pt idx="5">
                  <c:v>In-state</c:v>
                </c:pt>
                <c:pt idx="6">
                  <c:v>Out-of-state</c:v>
                </c:pt>
              </c:strCache>
            </c:strRef>
          </c:cat>
          <c:val>
            <c:numRef>
              <c:f>'10 Poverty Differences'!$C$62:$I$62</c:f>
              <c:numCache>
                <c:formatCode>0.0%</c:formatCode>
                <c:ptCount val="7"/>
                <c:pt idx="0">
                  <c:v>0.7531528606747746</c:v>
                </c:pt>
                <c:pt idx="1">
                  <c:v>0.74938432360517448</c:v>
                </c:pt>
                <c:pt idx="2">
                  <c:v>0.78138252756573368</c:v>
                </c:pt>
                <c:pt idx="3">
                  <c:v>0.67735668246321068</c:v>
                </c:pt>
                <c:pt idx="4">
                  <c:v>0.82210736912304105</c:v>
                </c:pt>
                <c:pt idx="5">
                  <c:v>0.75097713839022451</c:v>
                </c:pt>
                <c:pt idx="6">
                  <c:v>0.77528246617380392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C0-40D8-9BCD-F067E3785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-27"/>
        <c:axId val="353050479"/>
        <c:axId val="353046639"/>
      </c:barChart>
      <c:catAx>
        <c:axId val="3530504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046639"/>
        <c:crosses val="autoZero"/>
        <c:auto val="1"/>
        <c:lblAlgn val="ctr"/>
        <c:lblOffset val="100"/>
        <c:noMultiLvlLbl val="0"/>
      </c:catAx>
      <c:valAx>
        <c:axId val="353046639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050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 Poverty Differences'!$A$61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 Poverty Differences'!$N$60:$T$60</c:f>
              <c:strCache>
                <c:ptCount val="7"/>
                <c:pt idx="0">
                  <c:v>Total</c:v>
                </c:pt>
                <c:pt idx="1">
                  <c:v>Public</c:v>
                </c:pt>
                <c:pt idx="2">
                  <c:v>Private</c:v>
                </c:pt>
                <c:pt idx="3">
                  <c:v>Two-year</c:v>
                </c:pt>
                <c:pt idx="4">
                  <c:v>Four-year</c:v>
                </c:pt>
                <c:pt idx="5">
                  <c:v>In-state</c:v>
                </c:pt>
                <c:pt idx="6">
                  <c:v>Out-of-state</c:v>
                </c:pt>
              </c:strCache>
            </c:strRef>
          </c:cat>
          <c:val>
            <c:numRef>
              <c:f>'10 Poverty Differences'!$N$61:$T$61</c:f>
              <c:numCache>
                <c:formatCode>0.0%</c:formatCode>
                <c:ptCount val="7"/>
                <c:pt idx="0">
                  <c:v>0.90673800578555053</c:v>
                </c:pt>
                <c:pt idx="1">
                  <c:v>0.89640831903483187</c:v>
                </c:pt>
                <c:pt idx="2">
                  <c:v>0.94336379757195477</c:v>
                </c:pt>
                <c:pt idx="3">
                  <c:v>0.78394068861522992</c:v>
                </c:pt>
                <c:pt idx="4">
                  <c:v>0.94526596310853372</c:v>
                </c:pt>
                <c:pt idx="5">
                  <c:v>0.89172063848232952</c:v>
                </c:pt>
                <c:pt idx="6">
                  <c:v>0.94281980068616245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F1-4F14-91AC-E1E5B8B03F07}"/>
            </c:ext>
          </c:extLst>
        </c:ser>
        <c:ser>
          <c:idx val="1"/>
          <c:order val="1"/>
          <c:tx>
            <c:strRef>
              <c:f>'10 Poverty Differences'!$A$62</c:f>
              <c:strCache>
                <c:ptCount val="1"/>
                <c:pt idx="0">
                  <c:v>2021 Adjusted to 2020 Flags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 Poverty Differences'!$N$60:$T$60</c:f>
              <c:strCache>
                <c:ptCount val="7"/>
                <c:pt idx="0">
                  <c:v>Total</c:v>
                </c:pt>
                <c:pt idx="1">
                  <c:v>Public</c:v>
                </c:pt>
                <c:pt idx="2">
                  <c:v>Private</c:v>
                </c:pt>
                <c:pt idx="3">
                  <c:v>Two-year</c:v>
                </c:pt>
                <c:pt idx="4">
                  <c:v>Four-year</c:v>
                </c:pt>
                <c:pt idx="5">
                  <c:v>In-state</c:v>
                </c:pt>
                <c:pt idx="6">
                  <c:v>Out-of-state</c:v>
                </c:pt>
              </c:strCache>
            </c:strRef>
          </c:cat>
          <c:val>
            <c:numRef>
              <c:f>'10 Poverty Differences'!$N$62:$T$62</c:f>
              <c:numCache>
                <c:formatCode>0.0%</c:formatCode>
                <c:ptCount val="7"/>
                <c:pt idx="0">
                  <c:v>0.90695991689651467</c:v>
                </c:pt>
                <c:pt idx="1">
                  <c:v>0.89680428535694023</c:v>
                </c:pt>
                <c:pt idx="2">
                  <c:v>0.94356780769949744</c:v>
                </c:pt>
                <c:pt idx="3">
                  <c:v>0.7821247306557193</c:v>
                </c:pt>
                <c:pt idx="4">
                  <c:v>0.94506453553428438</c:v>
                </c:pt>
                <c:pt idx="5">
                  <c:v>0.89090884299013806</c:v>
                </c:pt>
                <c:pt idx="6">
                  <c:v>0.94450735223756821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F1-4F14-91AC-E1E5B8B03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-27"/>
        <c:axId val="353050479"/>
        <c:axId val="353046639"/>
      </c:barChart>
      <c:catAx>
        <c:axId val="3530504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046639"/>
        <c:crosses val="autoZero"/>
        <c:auto val="1"/>
        <c:lblAlgn val="ctr"/>
        <c:lblOffset val="100"/>
        <c:noMultiLvlLbl val="0"/>
      </c:catAx>
      <c:valAx>
        <c:axId val="353046639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050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 Public Non-Charter Poverty'!$A$100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 Public Non-Charter Poverty'!$C$99:$I$99</c:f>
              <c:strCache>
                <c:ptCount val="7"/>
                <c:pt idx="0">
                  <c:v>Total</c:v>
                </c:pt>
                <c:pt idx="1">
                  <c:v>Public</c:v>
                </c:pt>
                <c:pt idx="2">
                  <c:v>Private</c:v>
                </c:pt>
                <c:pt idx="3">
                  <c:v>Two-year</c:v>
                </c:pt>
                <c:pt idx="4">
                  <c:v>Four-year</c:v>
                </c:pt>
                <c:pt idx="5">
                  <c:v>In-state</c:v>
                </c:pt>
                <c:pt idx="6">
                  <c:v>Out-of-state</c:v>
                </c:pt>
              </c:strCache>
            </c:strRef>
          </c:cat>
          <c:val>
            <c:numRef>
              <c:f>'3 Public Non-Charter Poverty'!$C$100:$I$100</c:f>
              <c:numCache>
                <c:formatCode>0.0%</c:formatCode>
                <c:ptCount val="7"/>
                <c:pt idx="0">
                  <c:v>0.71710931587377014</c:v>
                </c:pt>
                <c:pt idx="1">
                  <c:v>0.71382084725094108</c:v>
                </c:pt>
                <c:pt idx="2">
                  <c:v>0.74247303583294999</c:v>
                </c:pt>
                <c:pt idx="3">
                  <c:v>0.63090980851801792</c:v>
                </c:pt>
                <c:pt idx="4">
                  <c:v>0.80026721645684795</c:v>
                </c:pt>
                <c:pt idx="5">
                  <c:v>0.71555439049652825</c:v>
                </c:pt>
                <c:pt idx="6">
                  <c:v>0.7344250622997508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D-414F-BB2B-8829E8B5FDB0}"/>
            </c:ext>
          </c:extLst>
        </c:ser>
        <c:ser>
          <c:idx val="1"/>
          <c:order val="1"/>
          <c:tx>
            <c:strRef>
              <c:f>'3 Public Non-Charter Poverty'!$A$101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 Public Non-Charter Poverty'!$C$99:$I$99</c:f>
              <c:strCache>
                <c:ptCount val="7"/>
                <c:pt idx="0">
                  <c:v>Total</c:v>
                </c:pt>
                <c:pt idx="1">
                  <c:v>Public</c:v>
                </c:pt>
                <c:pt idx="2">
                  <c:v>Private</c:v>
                </c:pt>
                <c:pt idx="3">
                  <c:v>Two-year</c:v>
                </c:pt>
                <c:pt idx="4">
                  <c:v>Four-year</c:v>
                </c:pt>
                <c:pt idx="5">
                  <c:v>In-state</c:v>
                </c:pt>
                <c:pt idx="6">
                  <c:v>Out-of-state</c:v>
                </c:pt>
              </c:strCache>
            </c:strRef>
          </c:cat>
          <c:val>
            <c:numRef>
              <c:f>'3 Public Non-Charter Poverty'!$C$101:$I$101</c:f>
              <c:numCache>
                <c:formatCode>0.0%</c:formatCode>
                <c:ptCount val="7"/>
                <c:pt idx="0">
                  <c:v>0.76019195990591126</c:v>
                </c:pt>
                <c:pt idx="1">
                  <c:v>0.75620757059460597</c:v>
                </c:pt>
                <c:pt idx="2">
                  <c:v>0.79413750421964668</c:v>
                </c:pt>
                <c:pt idx="3">
                  <c:v>0.68622935881490965</c:v>
                </c:pt>
                <c:pt idx="4">
                  <c:v>0.82868575715893456</c:v>
                </c:pt>
                <c:pt idx="5">
                  <c:v>0.75795653049164569</c:v>
                </c:pt>
                <c:pt idx="6">
                  <c:v>0.78282595831415613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5D-414F-BB2B-8829E8B5F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-27"/>
        <c:axId val="450104607"/>
        <c:axId val="450102207"/>
      </c:barChart>
      <c:catAx>
        <c:axId val="450104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102207"/>
        <c:crosses val="autoZero"/>
        <c:auto val="1"/>
        <c:lblAlgn val="ctr"/>
        <c:lblOffset val="100"/>
        <c:noMultiLvlLbl val="0"/>
      </c:catAx>
      <c:valAx>
        <c:axId val="450102207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104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 Public Non-Charter Poverty'!$A$100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 Public Non-Charter Poverty'!$P$99:$V$99</c:f>
              <c:strCache>
                <c:ptCount val="7"/>
                <c:pt idx="0">
                  <c:v>Total</c:v>
                </c:pt>
                <c:pt idx="1">
                  <c:v>Public</c:v>
                </c:pt>
                <c:pt idx="2">
                  <c:v>Private</c:v>
                </c:pt>
                <c:pt idx="3">
                  <c:v>Two-year</c:v>
                </c:pt>
                <c:pt idx="4">
                  <c:v>Four-year</c:v>
                </c:pt>
                <c:pt idx="5">
                  <c:v>In-state</c:v>
                </c:pt>
                <c:pt idx="6">
                  <c:v>Out-of-state</c:v>
                </c:pt>
              </c:strCache>
            </c:strRef>
          </c:cat>
          <c:val>
            <c:numRef>
              <c:f>'3 Public Non-Charter Poverty'!$P$100:$V$100</c:f>
              <c:numCache>
                <c:formatCode>0.0%</c:formatCode>
                <c:ptCount val="7"/>
                <c:pt idx="0">
                  <c:v>0.89702086277949522</c:v>
                </c:pt>
                <c:pt idx="1">
                  <c:v>0.8858768133692605</c:v>
                </c:pt>
                <c:pt idx="2">
                  <c:v>0.93848023221799692</c:v>
                </c:pt>
                <c:pt idx="3">
                  <c:v>0.7676965415496354</c:v>
                </c:pt>
                <c:pt idx="4">
                  <c:v>0.94060680609419167</c:v>
                </c:pt>
                <c:pt idx="5">
                  <c:v>0.8811286726128017</c:v>
                </c:pt>
                <c:pt idx="6">
                  <c:v>0.93931460585909887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1F-4003-ADFA-34D44D407802}"/>
            </c:ext>
          </c:extLst>
        </c:ser>
        <c:ser>
          <c:idx val="1"/>
          <c:order val="1"/>
          <c:tx>
            <c:strRef>
              <c:f>'3 Public Non-Charter Poverty'!$A$101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 Public Non-Charter Poverty'!$P$99:$V$99</c:f>
              <c:strCache>
                <c:ptCount val="7"/>
                <c:pt idx="0">
                  <c:v>Total</c:v>
                </c:pt>
                <c:pt idx="1">
                  <c:v>Public</c:v>
                </c:pt>
                <c:pt idx="2">
                  <c:v>Private</c:v>
                </c:pt>
                <c:pt idx="3">
                  <c:v>Two-year</c:v>
                </c:pt>
                <c:pt idx="4">
                  <c:v>Four-year</c:v>
                </c:pt>
                <c:pt idx="5">
                  <c:v>In-state</c:v>
                </c:pt>
                <c:pt idx="6">
                  <c:v>Out-of-state</c:v>
                </c:pt>
              </c:strCache>
            </c:strRef>
          </c:cat>
          <c:val>
            <c:numRef>
              <c:f>'3 Public Non-Charter Poverty'!$P$101:$V$101</c:f>
              <c:numCache>
                <c:formatCode>0.0%</c:formatCode>
                <c:ptCount val="7"/>
                <c:pt idx="0">
                  <c:v>0.90673800578555053</c:v>
                </c:pt>
                <c:pt idx="1">
                  <c:v>0.89640831903483187</c:v>
                </c:pt>
                <c:pt idx="2">
                  <c:v>0.94336379757195477</c:v>
                </c:pt>
                <c:pt idx="3">
                  <c:v>0.78394068861522992</c:v>
                </c:pt>
                <c:pt idx="4">
                  <c:v>0.94526596310853372</c:v>
                </c:pt>
                <c:pt idx="5">
                  <c:v>0.89172063848232952</c:v>
                </c:pt>
                <c:pt idx="6">
                  <c:v>0.94281980068616245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1F-4003-ADFA-34D44D407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-27"/>
        <c:axId val="450104607"/>
        <c:axId val="450102207"/>
      </c:barChart>
      <c:catAx>
        <c:axId val="450104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102207"/>
        <c:crosses val="autoZero"/>
        <c:auto val="1"/>
        <c:lblAlgn val="ctr"/>
        <c:lblOffset val="100"/>
        <c:noMultiLvlLbl val="0"/>
      </c:catAx>
      <c:valAx>
        <c:axId val="450102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104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10395387323573"/>
          <c:y val="3.9007529729678886E-2"/>
          <c:w val="0.86844490824189147"/>
          <c:h val="0.8024169386550283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'3 Public Non-Charter Poverty'!$D$10</c:f>
              <c:strCache>
                <c:ptCount val="1"/>
                <c:pt idx="0">
                  <c:v>Public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 Public Non-Charter Poverty'!$A$130:$A$137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'3 Public Non-Charter Poverty'!$D$130:$D$131</c:f>
              <c:numCache>
                <c:formatCode>0.0%</c:formatCode>
                <c:ptCount val="2"/>
                <c:pt idx="0">
                  <c:v>0.20799319156560397</c:v>
                </c:pt>
                <c:pt idx="1">
                  <c:v>0.21239175106414207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AD-4357-9D7A-5091AD717028}"/>
            </c:ext>
          </c:extLst>
        </c:ser>
        <c:ser>
          <c:idx val="3"/>
          <c:order val="1"/>
          <c:tx>
            <c:strRef>
              <c:f>'3 Public Non-Charter Poverty'!$E$10</c:f>
              <c:strCache>
                <c:ptCount val="1"/>
                <c:pt idx="0">
                  <c:v>Private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 Public Non-Charter Poverty'!$A$130:$A$137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'3 Public Non-Charter Poverty'!$E$130:$E$131</c:f>
              <c:numCache>
                <c:formatCode>0.0%</c:formatCode>
                <c:ptCount val="2"/>
                <c:pt idx="0">
                  <c:v>3.6729711873327284E-2</c:v>
                </c:pt>
                <c:pt idx="1">
                  <c:v>3.8239395273741379E-2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AD-4357-9D7A-5091AD717028}"/>
            </c:ext>
          </c:extLst>
        </c:ser>
        <c:ser>
          <c:idx val="0"/>
          <c:order val="2"/>
          <c:tx>
            <c:strRef>
              <c:f>'3 Public Non-Charter Poverty'!$F$10</c:f>
              <c:strCache>
                <c:ptCount val="1"/>
                <c:pt idx="0">
                  <c:v>Two-year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AD-4357-9D7A-5091AD71702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 Public Non-Charter Poverty'!$A$130:$A$137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'3 Public Non-Charter Poverty'!$F$127:$F$131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8.6673161554741834E-2</c:v>
                </c:pt>
                <c:pt idx="4" formatCode="0.0%">
                  <c:v>8.7920152649346842E-2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AD-4357-9D7A-5091AD717028}"/>
            </c:ext>
          </c:extLst>
        </c:ser>
        <c:ser>
          <c:idx val="1"/>
          <c:order val="3"/>
          <c:tx>
            <c:strRef>
              <c:f>'3 Public Non-Charter Poverty'!$G$10</c:f>
              <c:strCache>
                <c:ptCount val="1"/>
                <c:pt idx="0">
                  <c:v>Four-year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AD-4357-9D7A-5091AD71702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 Public Non-Charter Poverty'!$A$130:$A$137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'3 Public Non-Charter Poverty'!$G$127:$G$131</c:f>
              <c:numCache>
                <c:formatCode>General</c:formatCode>
                <c:ptCount val="5"/>
                <c:pt idx="2">
                  <c:v>0</c:v>
                </c:pt>
                <c:pt idx="3" formatCode="0.0%">
                  <c:v>0.15765407628880601</c:v>
                </c:pt>
                <c:pt idx="4" formatCode="0.0%">
                  <c:v>0.16234404814325554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AD-4357-9D7A-5091AD717028}"/>
            </c:ext>
          </c:extLst>
        </c:ser>
        <c:ser>
          <c:idx val="4"/>
          <c:order val="4"/>
          <c:tx>
            <c:strRef>
              <c:f>'3 Public Non-Charter Poverty'!$H$10</c:f>
              <c:strCache>
                <c:ptCount val="1"/>
                <c:pt idx="0">
                  <c:v>In-state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AD-4357-9D7A-5091AD71702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 Public Non-Charter Poverty'!$A$130:$A$137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'3 Public Non-Charter Poverty'!$H$124:$H$131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0.22084485802697246</c:v>
                </c:pt>
                <c:pt idx="7" formatCode="0.0%">
                  <c:v>0.22621092029942758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3AD-4357-9D7A-5091AD717028}"/>
            </c:ext>
          </c:extLst>
        </c:ser>
        <c:ser>
          <c:idx val="5"/>
          <c:order val="5"/>
          <c:tx>
            <c:strRef>
              <c:f>'3 Public Non-Charter Poverty'!$I$10</c:f>
              <c:strCache>
                <c:ptCount val="1"/>
                <c:pt idx="0">
                  <c:v>Out-of-state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AD-4357-9D7A-5091AD71702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 Public Non-Charter Poverty'!$A$130:$A$137</c:f>
              <c:numCache>
                <c:formatCode>0</c:formatCode>
                <c:ptCount val="8"/>
                <c:pt idx="0">
                  <c:v>2016</c:v>
                </c:pt>
                <c:pt idx="1">
                  <c:v>2017</c:v>
                </c:pt>
                <c:pt idx="3" formatCode="General">
                  <c:v>2016</c:v>
                </c:pt>
                <c:pt idx="4" formatCode="General">
                  <c:v>2017</c:v>
                </c:pt>
                <c:pt idx="6" formatCode="General">
                  <c:v>2016</c:v>
                </c:pt>
                <c:pt idx="7" formatCode="General">
                  <c:v>2017</c:v>
                </c:pt>
              </c:numCache>
            </c:numRef>
          </c:cat>
          <c:val>
            <c:numRef>
              <c:f>'3 Public Non-Charter Poverty'!$I$124:$I$131</c:f>
              <c:numCache>
                <c:formatCode>General</c:formatCode>
                <c:ptCount val="8"/>
                <c:pt idx="5">
                  <c:v>0</c:v>
                </c:pt>
                <c:pt idx="6" formatCode="0.0%">
                  <c:v>2.3878045411958804E-2</c:v>
                </c:pt>
                <c:pt idx="7" formatCode="0.0%">
                  <c:v>2.4420226038455894E-2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AD-4357-9D7A-5091AD717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00272368"/>
        <c:axId val="500269624"/>
      </c:barChart>
      <c:catAx>
        <c:axId val="500272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500269624"/>
        <c:crosses val="autoZero"/>
        <c:auto val="1"/>
        <c:lblAlgn val="ctr"/>
        <c:lblOffset val="100"/>
        <c:noMultiLvlLbl val="0"/>
      </c:catAx>
      <c:valAx>
        <c:axId val="50026962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crossAx val="50027236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10" Type="http://schemas.openxmlformats.org/officeDocument/2006/relationships/chart" Target="../charts/chart30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13" Type="http://schemas.openxmlformats.org/officeDocument/2006/relationships/chart" Target="../charts/chart43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12" Type="http://schemas.openxmlformats.org/officeDocument/2006/relationships/chart" Target="../charts/chart42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11" Type="http://schemas.openxmlformats.org/officeDocument/2006/relationships/chart" Target="../charts/chart41.xml"/><Relationship Id="rId5" Type="http://schemas.openxmlformats.org/officeDocument/2006/relationships/chart" Target="../charts/chart35.xml"/><Relationship Id="rId15" Type="http://schemas.openxmlformats.org/officeDocument/2006/relationships/chart" Target="../charts/chart45.xml"/><Relationship Id="rId10" Type="http://schemas.openxmlformats.org/officeDocument/2006/relationships/chart" Target="../charts/chart40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Relationship Id="rId14" Type="http://schemas.openxmlformats.org/officeDocument/2006/relationships/chart" Target="../charts/chart4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6" Type="http://schemas.openxmlformats.org/officeDocument/2006/relationships/chart" Target="../charts/chart61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4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Relationship Id="rId6" Type="http://schemas.openxmlformats.org/officeDocument/2006/relationships/chart" Target="../charts/chart67.xml"/><Relationship Id="rId5" Type="http://schemas.openxmlformats.org/officeDocument/2006/relationships/chart" Target="../charts/chart66.xml"/><Relationship Id="rId4" Type="http://schemas.openxmlformats.org/officeDocument/2006/relationships/chart" Target="../charts/chart6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13</xdr:row>
      <xdr:rowOff>1650</xdr:rowOff>
    </xdr:from>
    <xdr:to>
      <xdr:col>10</xdr:col>
      <xdr:colOff>67637</xdr:colOff>
      <xdr:row>31</xdr:row>
      <xdr:rowOff>2191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87E42E1C-8EE7-43CD-A515-E5D761CDB9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932821</xdr:colOff>
      <xdr:row>13</xdr:row>
      <xdr:rowOff>707</xdr:rowOff>
    </xdr:from>
    <xdr:to>
      <xdr:col>23</xdr:col>
      <xdr:colOff>381333</xdr:colOff>
      <xdr:row>31</xdr:row>
      <xdr:rowOff>1248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EEBD1D58-24AB-4A31-83F7-6B49DEAEB0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10</xdr:col>
      <xdr:colOff>48587</xdr:colOff>
      <xdr:row>60</xdr:row>
      <xdr:rowOff>541</xdr:rowOff>
    </xdr:to>
    <xdr:graphicFrame macro="">
      <xdr:nvGraphicFramePr>
        <xdr:cNvPr id="4" name="Chart 11">
          <a:extLst>
            <a:ext uri="{FF2B5EF4-FFF2-40B4-BE49-F238E27FC236}">
              <a16:creationId xmlns:a16="http://schemas.microsoft.com/office/drawing/2014/main" id="{2252D747-B007-4493-AF1A-A8DEC79483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42</xdr:row>
      <xdr:rowOff>0</xdr:rowOff>
    </xdr:from>
    <xdr:to>
      <xdr:col>23</xdr:col>
      <xdr:colOff>267662</xdr:colOff>
      <xdr:row>60</xdr:row>
      <xdr:rowOff>541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22EC765-933F-4F75-8C5E-0D5ED2DBC2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72</xdr:row>
      <xdr:rowOff>1905</xdr:rowOff>
    </xdr:from>
    <xdr:to>
      <xdr:col>10</xdr:col>
      <xdr:colOff>48587</xdr:colOff>
      <xdr:row>90</xdr:row>
      <xdr:rowOff>2446</xdr:rowOff>
    </xdr:to>
    <xdr:graphicFrame macro="">
      <xdr:nvGraphicFramePr>
        <xdr:cNvPr id="5" name="Chart 13">
          <a:extLst>
            <a:ext uri="{FF2B5EF4-FFF2-40B4-BE49-F238E27FC236}">
              <a16:creationId xmlns:a16="http://schemas.microsoft.com/office/drawing/2014/main" id="{F7705C2D-D558-4C07-A808-2560A2F06F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72</xdr:row>
      <xdr:rowOff>0</xdr:rowOff>
    </xdr:from>
    <xdr:to>
      <xdr:col>23</xdr:col>
      <xdr:colOff>267662</xdr:colOff>
      <xdr:row>90</xdr:row>
      <xdr:rowOff>541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2E7B9A92-C4C5-42AE-A35B-1F06D903AA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101</xdr:row>
      <xdr:rowOff>179887</xdr:rowOff>
    </xdr:from>
    <xdr:to>
      <xdr:col>9</xdr:col>
      <xdr:colOff>317590</xdr:colOff>
      <xdr:row>120</xdr:row>
      <xdr:rowOff>65587</xdr:rowOff>
    </xdr:to>
    <xdr:graphicFrame macro="">
      <xdr:nvGraphicFramePr>
        <xdr:cNvPr id="20" name="Chart 8">
          <a:extLst>
            <a:ext uri="{FF2B5EF4-FFF2-40B4-BE49-F238E27FC236}">
              <a16:creationId xmlns:a16="http://schemas.microsoft.com/office/drawing/2014/main" id="{8410A5C3-0156-480A-DD6F-BC66611491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0</xdr:colOff>
      <xdr:row>102</xdr:row>
      <xdr:rowOff>0</xdr:rowOff>
    </xdr:from>
    <xdr:to>
      <xdr:col>22</xdr:col>
      <xdr:colOff>521425</xdr:colOff>
      <xdr:row>120</xdr:row>
      <xdr:rowOff>68580</xdr:rowOff>
    </xdr:to>
    <xdr:graphicFrame macro="">
      <xdr:nvGraphicFramePr>
        <xdr:cNvPr id="21" name="Chart 15">
          <a:extLst>
            <a:ext uri="{FF2B5EF4-FFF2-40B4-BE49-F238E27FC236}">
              <a16:creationId xmlns:a16="http://schemas.microsoft.com/office/drawing/2014/main" id="{F992F629-1A31-4DFE-BD3F-F379C676A2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132</xdr:row>
      <xdr:rowOff>0</xdr:rowOff>
    </xdr:from>
    <xdr:to>
      <xdr:col>10</xdr:col>
      <xdr:colOff>58112</xdr:colOff>
      <xdr:row>150</xdr:row>
      <xdr:rowOff>541</xdr:rowOff>
    </xdr:to>
    <xdr:graphicFrame macro="">
      <xdr:nvGraphicFramePr>
        <xdr:cNvPr id="8" name="Chart 17">
          <a:extLst>
            <a:ext uri="{FF2B5EF4-FFF2-40B4-BE49-F238E27FC236}">
              <a16:creationId xmlns:a16="http://schemas.microsoft.com/office/drawing/2014/main" id="{DA8DAFE8-C030-4903-BB5F-810A38B21F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0</xdr:colOff>
      <xdr:row>132</xdr:row>
      <xdr:rowOff>9525</xdr:rowOff>
    </xdr:from>
    <xdr:to>
      <xdr:col>23</xdr:col>
      <xdr:colOff>248612</xdr:colOff>
      <xdr:row>150</xdr:row>
      <xdr:rowOff>10066</xdr:rowOff>
    </xdr:to>
    <xdr:graphicFrame macro="">
      <xdr:nvGraphicFramePr>
        <xdr:cNvPr id="17" name="Chart 18">
          <a:extLst>
            <a:ext uri="{FF2B5EF4-FFF2-40B4-BE49-F238E27FC236}">
              <a16:creationId xmlns:a16="http://schemas.microsoft.com/office/drawing/2014/main" id="{81317505-009B-42E2-8DDA-200224973F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1650</xdr:rowOff>
    </xdr:from>
    <xdr:to>
      <xdr:col>10</xdr:col>
      <xdr:colOff>58112</xdr:colOff>
      <xdr:row>31</xdr:row>
      <xdr:rowOff>2191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95B7E5-8D90-416D-812D-6EC9D6E6B9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8896</xdr:colOff>
      <xdr:row>13</xdr:row>
      <xdr:rowOff>10232</xdr:rowOff>
    </xdr:from>
    <xdr:to>
      <xdr:col>23</xdr:col>
      <xdr:colOff>390858</xdr:colOff>
      <xdr:row>31</xdr:row>
      <xdr:rowOff>10773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0FCF3F8-334F-4946-B9B8-61FB8FFAB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10</xdr:col>
      <xdr:colOff>48587</xdr:colOff>
      <xdr:row>60</xdr:row>
      <xdr:rowOff>541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1BE590E-75B1-4F1B-80B0-285E36793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42</xdr:row>
      <xdr:rowOff>0</xdr:rowOff>
    </xdr:from>
    <xdr:to>
      <xdr:col>23</xdr:col>
      <xdr:colOff>267662</xdr:colOff>
      <xdr:row>60</xdr:row>
      <xdr:rowOff>541</xdr:rowOff>
    </xdr:to>
    <xdr:graphicFrame macro="">
      <xdr:nvGraphicFramePr>
        <xdr:cNvPr id="83" name="Chart 4">
          <a:extLst>
            <a:ext uri="{FF2B5EF4-FFF2-40B4-BE49-F238E27FC236}">
              <a16:creationId xmlns:a16="http://schemas.microsoft.com/office/drawing/2014/main" id="{601CD7FB-B96A-420C-AE21-D35AB43B28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72</xdr:row>
      <xdr:rowOff>11430</xdr:rowOff>
    </xdr:from>
    <xdr:to>
      <xdr:col>10</xdr:col>
      <xdr:colOff>48587</xdr:colOff>
      <xdr:row>90</xdr:row>
      <xdr:rowOff>11971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14A08183-8AA8-4A9C-B54C-57A676183D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72</xdr:row>
      <xdr:rowOff>0</xdr:rowOff>
    </xdr:from>
    <xdr:to>
      <xdr:col>23</xdr:col>
      <xdr:colOff>267662</xdr:colOff>
      <xdr:row>90</xdr:row>
      <xdr:rowOff>541</xdr:rowOff>
    </xdr:to>
    <xdr:graphicFrame macro="">
      <xdr:nvGraphicFramePr>
        <xdr:cNvPr id="119" name="Chart 6">
          <a:extLst>
            <a:ext uri="{FF2B5EF4-FFF2-40B4-BE49-F238E27FC236}">
              <a16:creationId xmlns:a16="http://schemas.microsoft.com/office/drawing/2014/main" id="{92FD302F-8DCF-4272-BEFF-8493C3E2A2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101</xdr:row>
      <xdr:rowOff>179887</xdr:rowOff>
    </xdr:from>
    <xdr:to>
      <xdr:col>9</xdr:col>
      <xdr:colOff>317590</xdr:colOff>
      <xdr:row>120</xdr:row>
      <xdr:rowOff>65587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DE8A077D-BE0F-4E2B-B751-2BE647F46C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0</xdr:colOff>
      <xdr:row>102</xdr:row>
      <xdr:rowOff>0</xdr:rowOff>
    </xdr:from>
    <xdr:to>
      <xdr:col>22</xdr:col>
      <xdr:colOff>521425</xdr:colOff>
      <xdr:row>120</xdr:row>
      <xdr:rowOff>68580</xdr:rowOff>
    </xdr:to>
    <xdr:graphicFrame macro="">
      <xdr:nvGraphicFramePr>
        <xdr:cNvPr id="9" name="Chart 15">
          <a:extLst>
            <a:ext uri="{FF2B5EF4-FFF2-40B4-BE49-F238E27FC236}">
              <a16:creationId xmlns:a16="http://schemas.microsoft.com/office/drawing/2014/main" id="{1F1D041C-DF6B-48DE-A8F1-913029E9E1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132</xdr:row>
      <xdr:rowOff>9525</xdr:rowOff>
    </xdr:from>
    <xdr:to>
      <xdr:col>10</xdr:col>
      <xdr:colOff>58112</xdr:colOff>
      <xdr:row>150</xdr:row>
      <xdr:rowOff>10066</xdr:rowOff>
    </xdr:to>
    <xdr:graphicFrame macro="">
      <xdr:nvGraphicFramePr>
        <xdr:cNvPr id="10" name="Chart 17">
          <a:extLst>
            <a:ext uri="{FF2B5EF4-FFF2-40B4-BE49-F238E27FC236}">
              <a16:creationId xmlns:a16="http://schemas.microsoft.com/office/drawing/2014/main" id="{28B3C20B-8B3C-4FF5-A45C-21DFE175A8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9525</xdr:colOff>
      <xdr:row>132</xdr:row>
      <xdr:rowOff>9525</xdr:rowOff>
    </xdr:from>
    <xdr:to>
      <xdr:col>23</xdr:col>
      <xdr:colOff>258137</xdr:colOff>
      <xdr:row>150</xdr:row>
      <xdr:rowOff>10066</xdr:rowOff>
    </xdr:to>
    <xdr:graphicFrame macro="">
      <xdr:nvGraphicFramePr>
        <xdr:cNvPr id="11" name="Chart 18">
          <a:extLst>
            <a:ext uri="{FF2B5EF4-FFF2-40B4-BE49-F238E27FC236}">
              <a16:creationId xmlns:a16="http://schemas.microsoft.com/office/drawing/2014/main" id="{D8281508-040B-4CDD-B791-89BE8E3E0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164528</xdr:rowOff>
    </xdr:from>
    <xdr:to>
      <xdr:col>10</xdr:col>
      <xdr:colOff>54302</xdr:colOff>
      <xdr:row>30</xdr:row>
      <xdr:rowOff>165069</xdr:rowOff>
    </xdr:to>
    <xdr:graphicFrame macro="">
      <xdr:nvGraphicFramePr>
        <xdr:cNvPr id="13" name="Chart 1">
          <a:extLst>
            <a:ext uri="{FF2B5EF4-FFF2-40B4-BE49-F238E27FC236}">
              <a16:creationId xmlns:a16="http://schemas.microsoft.com/office/drawing/2014/main" id="{152BA6F5-63FD-4B5F-AB9D-252780DDBB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932821</xdr:colOff>
      <xdr:row>13</xdr:row>
      <xdr:rowOff>10232</xdr:rowOff>
    </xdr:from>
    <xdr:to>
      <xdr:col>23</xdr:col>
      <xdr:colOff>381333</xdr:colOff>
      <xdr:row>31</xdr:row>
      <xdr:rowOff>10773</xdr:rowOff>
    </xdr:to>
    <xdr:graphicFrame macro="">
      <xdr:nvGraphicFramePr>
        <xdr:cNvPr id="14" name="Chart 2">
          <a:extLst>
            <a:ext uri="{FF2B5EF4-FFF2-40B4-BE49-F238E27FC236}">
              <a16:creationId xmlns:a16="http://schemas.microsoft.com/office/drawing/2014/main" id="{A664B2E0-3F3A-455B-A3A4-23B157BA82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171450</xdr:rowOff>
    </xdr:from>
    <xdr:to>
      <xdr:col>10</xdr:col>
      <xdr:colOff>48587</xdr:colOff>
      <xdr:row>59</xdr:row>
      <xdr:rowOff>171991</xdr:rowOff>
    </xdr:to>
    <xdr:graphicFrame macro="">
      <xdr:nvGraphicFramePr>
        <xdr:cNvPr id="15" name="Chart 3">
          <a:extLst>
            <a:ext uri="{FF2B5EF4-FFF2-40B4-BE49-F238E27FC236}">
              <a16:creationId xmlns:a16="http://schemas.microsoft.com/office/drawing/2014/main" id="{39B2CD5F-016A-4067-8386-9C4E970F09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42</xdr:row>
      <xdr:rowOff>0</xdr:rowOff>
    </xdr:from>
    <xdr:to>
      <xdr:col>23</xdr:col>
      <xdr:colOff>267662</xdr:colOff>
      <xdr:row>60</xdr:row>
      <xdr:rowOff>541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CDD5EA1-60CE-4F33-8C0A-7127511820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</xdr:colOff>
      <xdr:row>71</xdr:row>
      <xdr:rowOff>173355</xdr:rowOff>
    </xdr:from>
    <xdr:to>
      <xdr:col>10</xdr:col>
      <xdr:colOff>50492</xdr:colOff>
      <xdr:row>89</xdr:row>
      <xdr:rowOff>173896</xdr:rowOff>
    </xdr:to>
    <xdr:graphicFrame macro="">
      <xdr:nvGraphicFramePr>
        <xdr:cNvPr id="16" name="Chart 5">
          <a:extLst>
            <a:ext uri="{FF2B5EF4-FFF2-40B4-BE49-F238E27FC236}">
              <a16:creationId xmlns:a16="http://schemas.microsoft.com/office/drawing/2014/main" id="{0F1AB303-0914-4DC1-8883-EFAF8EE609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72</xdr:row>
      <xdr:rowOff>0</xdr:rowOff>
    </xdr:from>
    <xdr:to>
      <xdr:col>23</xdr:col>
      <xdr:colOff>267662</xdr:colOff>
      <xdr:row>90</xdr:row>
      <xdr:rowOff>541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7ECDBC5-C491-4E33-A924-39A4EFB3AE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101</xdr:row>
      <xdr:rowOff>179887</xdr:rowOff>
    </xdr:from>
    <xdr:to>
      <xdr:col>9</xdr:col>
      <xdr:colOff>327115</xdr:colOff>
      <xdr:row>120</xdr:row>
      <xdr:rowOff>65587</xdr:rowOff>
    </xdr:to>
    <xdr:graphicFrame macro="">
      <xdr:nvGraphicFramePr>
        <xdr:cNvPr id="18" name="Chart 7">
          <a:extLst>
            <a:ext uri="{FF2B5EF4-FFF2-40B4-BE49-F238E27FC236}">
              <a16:creationId xmlns:a16="http://schemas.microsoft.com/office/drawing/2014/main" id="{544B0B1F-3A64-4032-88F5-5E38E9D9B9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0</xdr:colOff>
      <xdr:row>102</xdr:row>
      <xdr:rowOff>0</xdr:rowOff>
    </xdr:from>
    <xdr:to>
      <xdr:col>22</xdr:col>
      <xdr:colOff>521425</xdr:colOff>
      <xdr:row>120</xdr:row>
      <xdr:rowOff>68580</xdr:rowOff>
    </xdr:to>
    <xdr:graphicFrame macro="">
      <xdr:nvGraphicFramePr>
        <xdr:cNvPr id="19" name="Chart 8">
          <a:extLst>
            <a:ext uri="{FF2B5EF4-FFF2-40B4-BE49-F238E27FC236}">
              <a16:creationId xmlns:a16="http://schemas.microsoft.com/office/drawing/2014/main" id="{2A7E1627-3BF8-416A-BB0D-B6C032A689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132</xdr:row>
      <xdr:rowOff>9525</xdr:rowOff>
    </xdr:from>
    <xdr:to>
      <xdr:col>10</xdr:col>
      <xdr:colOff>58112</xdr:colOff>
      <xdr:row>150</xdr:row>
      <xdr:rowOff>10066</xdr:rowOff>
    </xdr:to>
    <xdr:graphicFrame macro="">
      <xdr:nvGraphicFramePr>
        <xdr:cNvPr id="20" name="Chart 9">
          <a:extLst>
            <a:ext uri="{FF2B5EF4-FFF2-40B4-BE49-F238E27FC236}">
              <a16:creationId xmlns:a16="http://schemas.microsoft.com/office/drawing/2014/main" id="{E227B97E-73A2-441D-8890-3CEDC0ED64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9525</xdr:colOff>
      <xdr:row>132</xdr:row>
      <xdr:rowOff>9525</xdr:rowOff>
    </xdr:from>
    <xdr:to>
      <xdr:col>23</xdr:col>
      <xdr:colOff>258137</xdr:colOff>
      <xdr:row>150</xdr:row>
      <xdr:rowOff>10066</xdr:rowOff>
    </xdr:to>
    <xdr:graphicFrame macro="">
      <xdr:nvGraphicFramePr>
        <xdr:cNvPr id="21" name="Chart 10">
          <a:extLst>
            <a:ext uri="{FF2B5EF4-FFF2-40B4-BE49-F238E27FC236}">
              <a16:creationId xmlns:a16="http://schemas.microsoft.com/office/drawing/2014/main" id="{B250DE55-4878-469F-962B-B624300FB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173100</xdr:rowOff>
    </xdr:from>
    <xdr:to>
      <xdr:col>10</xdr:col>
      <xdr:colOff>58112</xdr:colOff>
      <xdr:row>30</xdr:row>
      <xdr:rowOff>173641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64979FAE-9E32-474D-BAE4-77EBBEA56C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938030</xdr:colOff>
      <xdr:row>13</xdr:row>
      <xdr:rowOff>240</xdr:rowOff>
    </xdr:from>
    <xdr:to>
      <xdr:col>23</xdr:col>
      <xdr:colOff>385843</xdr:colOff>
      <xdr:row>31</xdr:row>
      <xdr:rowOff>781</xdr:rowOff>
    </xdr:to>
    <xdr:graphicFrame macro="">
      <xdr:nvGraphicFramePr>
        <xdr:cNvPr id="175" name="Chart 2">
          <a:extLst>
            <a:ext uri="{FF2B5EF4-FFF2-40B4-BE49-F238E27FC236}">
              <a16:creationId xmlns:a16="http://schemas.microsoft.com/office/drawing/2014/main" id="{4D1EE4E9-DCA2-408E-A6EA-494CF2637A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163830</xdr:rowOff>
    </xdr:from>
    <xdr:to>
      <xdr:col>10</xdr:col>
      <xdr:colOff>50492</xdr:colOff>
      <xdr:row>59</xdr:row>
      <xdr:rowOff>164371</xdr:rowOff>
    </xdr:to>
    <xdr:graphicFrame macro="">
      <xdr:nvGraphicFramePr>
        <xdr:cNvPr id="31" name="Chart 3">
          <a:extLst>
            <a:ext uri="{FF2B5EF4-FFF2-40B4-BE49-F238E27FC236}">
              <a16:creationId xmlns:a16="http://schemas.microsoft.com/office/drawing/2014/main" id="{CBB618A8-4263-41C8-9B9F-94585E9075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42</xdr:row>
      <xdr:rowOff>0</xdr:rowOff>
    </xdr:from>
    <xdr:to>
      <xdr:col>23</xdr:col>
      <xdr:colOff>267662</xdr:colOff>
      <xdr:row>60</xdr:row>
      <xdr:rowOff>541</xdr:rowOff>
    </xdr:to>
    <xdr:graphicFrame macro="">
      <xdr:nvGraphicFramePr>
        <xdr:cNvPr id="178" name="Chart 4">
          <a:extLst>
            <a:ext uri="{FF2B5EF4-FFF2-40B4-BE49-F238E27FC236}">
              <a16:creationId xmlns:a16="http://schemas.microsoft.com/office/drawing/2014/main" id="{8D1DF4BD-C8CF-4D6C-8FBE-2AC2153E6D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</xdr:colOff>
      <xdr:row>71</xdr:row>
      <xdr:rowOff>173355</xdr:rowOff>
    </xdr:from>
    <xdr:to>
      <xdr:col>10</xdr:col>
      <xdr:colOff>50492</xdr:colOff>
      <xdr:row>89</xdr:row>
      <xdr:rowOff>173896</xdr:rowOff>
    </xdr:to>
    <xdr:graphicFrame macro="">
      <xdr:nvGraphicFramePr>
        <xdr:cNvPr id="32" name="Chart 5">
          <a:extLst>
            <a:ext uri="{FF2B5EF4-FFF2-40B4-BE49-F238E27FC236}">
              <a16:creationId xmlns:a16="http://schemas.microsoft.com/office/drawing/2014/main" id="{4F60A398-8FBD-4461-9CC3-97BDDC5AD9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72</xdr:row>
      <xdr:rowOff>0</xdr:rowOff>
    </xdr:from>
    <xdr:to>
      <xdr:col>23</xdr:col>
      <xdr:colOff>267662</xdr:colOff>
      <xdr:row>90</xdr:row>
      <xdr:rowOff>541</xdr:rowOff>
    </xdr:to>
    <xdr:graphicFrame macro="">
      <xdr:nvGraphicFramePr>
        <xdr:cNvPr id="177" name="Chart 6">
          <a:extLst>
            <a:ext uri="{FF2B5EF4-FFF2-40B4-BE49-F238E27FC236}">
              <a16:creationId xmlns:a16="http://schemas.microsoft.com/office/drawing/2014/main" id="{8CA43D1C-89E8-48F1-B30B-7A85B11569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101</xdr:row>
      <xdr:rowOff>179887</xdr:rowOff>
    </xdr:from>
    <xdr:to>
      <xdr:col>9</xdr:col>
      <xdr:colOff>317590</xdr:colOff>
      <xdr:row>120</xdr:row>
      <xdr:rowOff>65587</xdr:rowOff>
    </xdr:to>
    <xdr:graphicFrame macro="">
      <xdr:nvGraphicFramePr>
        <xdr:cNvPr id="34" name="Chart 8">
          <a:extLst>
            <a:ext uri="{FF2B5EF4-FFF2-40B4-BE49-F238E27FC236}">
              <a16:creationId xmlns:a16="http://schemas.microsoft.com/office/drawing/2014/main" id="{C806E0A7-7739-4A55-A8DB-31F008D656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0</xdr:colOff>
      <xdr:row>102</xdr:row>
      <xdr:rowOff>0</xdr:rowOff>
    </xdr:from>
    <xdr:to>
      <xdr:col>22</xdr:col>
      <xdr:colOff>521425</xdr:colOff>
      <xdr:row>120</xdr:row>
      <xdr:rowOff>68580</xdr:rowOff>
    </xdr:to>
    <xdr:graphicFrame macro="">
      <xdr:nvGraphicFramePr>
        <xdr:cNvPr id="35" name="Chart 15">
          <a:extLst>
            <a:ext uri="{FF2B5EF4-FFF2-40B4-BE49-F238E27FC236}">
              <a16:creationId xmlns:a16="http://schemas.microsoft.com/office/drawing/2014/main" id="{5AF0E184-CFF6-4B5E-97C8-701BCE4C42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131</xdr:row>
      <xdr:rowOff>171450</xdr:rowOff>
    </xdr:from>
    <xdr:to>
      <xdr:col>10</xdr:col>
      <xdr:colOff>58112</xdr:colOff>
      <xdr:row>149</xdr:row>
      <xdr:rowOff>171991</xdr:rowOff>
    </xdr:to>
    <xdr:graphicFrame macro="">
      <xdr:nvGraphicFramePr>
        <xdr:cNvPr id="37" name="Chart 17">
          <a:extLst>
            <a:ext uri="{FF2B5EF4-FFF2-40B4-BE49-F238E27FC236}">
              <a16:creationId xmlns:a16="http://schemas.microsoft.com/office/drawing/2014/main" id="{F811C1DA-64E9-4838-9EC5-DB3BDE9587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938971</xdr:colOff>
      <xdr:row>131</xdr:row>
      <xdr:rowOff>183347</xdr:rowOff>
    </xdr:from>
    <xdr:to>
      <xdr:col>23</xdr:col>
      <xdr:colOff>261753</xdr:colOff>
      <xdr:row>149</xdr:row>
      <xdr:rowOff>183888</xdr:rowOff>
    </xdr:to>
    <xdr:graphicFrame macro="">
      <xdr:nvGraphicFramePr>
        <xdr:cNvPr id="179" name="Chart 18">
          <a:extLst>
            <a:ext uri="{FF2B5EF4-FFF2-40B4-BE49-F238E27FC236}">
              <a16:creationId xmlns:a16="http://schemas.microsoft.com/office/drawing/2014/main" id="{2034B049-F4DB-42AA-9E9B-15D7CA5382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25</xdr:col>
      <xdr:colOff>938030</xdr:colOff>
      <xdr:row>13</xdr:row>
      <xdr:rowOff>240</xdr:rowOff>
    </xdr:from>
    <xdr:to>
      <xdr:col>36</xdr:col>
      <xdr:colOff>385843</xdr:colOff>
      <xdr:row>31</xdr:row>
      <xdr:rowOff>781</xdr:rowOff>
    </xdr:to>
    <xdr:graphicFrame macro="">
      <xdr:nvGraphicFramePr>
        <xdr:cNvPr id="185" name="Chart 2">
          <a:extLst>
            <a:ext uri="{FF2B5EF4-FFF2-40B4-BE49-F238E27FC236}">
              <a16:creationId xmlns:a16="http://schemas.microsoft.com/office/drawing/2014/main" id="{803F636B-D7CD-4F93-B788-8821A7941F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0</xdr:colOff>
      <xdr:row>72</xdr:row>
      <xdr:rowOff>0</xdr:rowOff>
    </xdr:from>
    <xdr:to>
      <xdr:col>36</xdr:col>
      <xdr:colOff>267662</xdr:colOff>
      <xdr:row>90</xdr:row>
      <xdr:rowOff>541</xdr:rowOff>
    </xdr:to>
    <xdr:graphicFrame macro="">
      <xdr:nvGraphicFramePr>
        <xdr:cNvPr id="10" name="Chart 6">
          <a:extLst>
            <a:ext uri="{FF2B5EF4-FFF2-40B4-BE49-F238E27FC236}">
              <a16:creationId xmlns:a16="http://schemas.microsoft.com/office/drawing/2014/main" id="{8C38B8CF-D2BD-4CF9-913D-68FBB00B42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26</xdr:col>
      <xdr:colOff>0</xdr:colOff>
      <xdr:row>102</xdr:row>
      <xdr:rowOff>0</xdr:rowOff>
    </xdr:from>
    <xdr:to>
      <xdr:col>35</xdr:col>
      <xdr:colOff>521425</xdr:colOff>
      <xdr:row>120</xdr:row>
      <xdr:rowOff>68580</xdr:rowOff>
    </xdr:to>
    <xdr:graphicFrame macro="">
      <xdr:nvGraphicFramePr>
        <xdr:cNvPr id="36" name="Chart 15">
          <a:extLst>
            <a:ext uri="{FF2B5EF4-FFF2-40B4-BE49-F238E27FC236}">
              <a16:creationId xmlns:a16="http://schemas.microsoft.com/office/drawing/2014/main" id="{C9053780-3E04-4A32-AC50-01A02521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26</xdr:col>
      <xdr:colOff>0</xdr:colOff>
      <xdr:row>42</xdr:row>
      <xdr:rowOff>0</xdr:rowOff>
    </xdr:from>
    <xdr:to>
      <xdr:col>36</xdr:col>
      <xdr:colOff>388650</xdr:colOff>
      <xdr:row>60</xdr:row>
      <xdr:rowOff>541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13216E87-6A9D-4178-B2CE-AF18C78493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26</xdr:col>
      <xdr:colOff>0</xdr:colOff>
      <xdr:row>132</xdr:row>
      <xdr:rowOff>0</xdr:rowOff>
    </xdr:from>
    <xdr:to>
      <xdr:col>36</xdr:col>
      <xdr:colOff>264077</xdr:colOff>
      <xdr:row>150</xdr:row>
      <xdr:rowOff>541</xdr:rowOff>
    </xdr:to>
    <xdr:graphicFrame macro="">
      <xdr:nvGraphicFramePr>
        <xdr:cNvPr id="27" name="Chart 18">
          <a:extLst>
            <a:ext uri="{FF2B5EF4-FFF2-40B4-BE49-F238E27FC236}">
              <a16:creationId xmlns:a16="http://schemas.microsoft.com/office/drawing/2014/main" id="{9D4FFAC4-B1FB-431F-8971-5B9A2FC8AA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173100</xdr:rowOff>
    </xdr:from>
    <xdr:to>
      <xdr:col>10</xdr:col>
      <xdr:colOff>58112</xdr:colOff>
      <xdr:row>30</xdr:row>
      <xdr:rowOff>173641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0B5A39-230D-4669-9585-E08BFE16AD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171450</xdr:rowOff>
    </xdr:from>
    <xdr:to>
      <xdr:col>10</xdr:col>
      <xdr:colOff>48587</xdr:colOff>
      <xdr:row>59</xdr:row>
      <xdr:rowOff>171991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A0B86DE4-2BF3-43C2-A4A7-0F4BE5B4E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71</xdr:row>
      <xdr:rowOff>173355</xdr:rowOff>
    </xdr:from>
    <xdr:to>
      <xdr:col>10</xdr:col>
      <xdr:colOff>48587</xdr:colOff>
      <xdr:row>89</xdr:row>
      <xdr:rowOff>173896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CC5AF1A5-E00F-4E20-B684-D22D2C3C0F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101</xdr:row>
      <xdr:rowOff>170362</xdr:rowOff>
    </xdr:from>
    <xdr:to>
      <xdr:col>9</xdr:col>
      <xdr:colOff>317590</xdr:colOff>
      <xdr:row>120</xdr:row>
      <xdr:rowOff>56062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ECF8B40F-14D0-4F88-AE97-421811931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131</xdr:row>
      <xdr:rowOff>152400</xdr:rowOff>
    </xdr:from>
    <xdr:to>
      <xdr:col>10</xdr:col>
      <xdr:colOff>58112</xdr:colOff>
      <xdr:row>149</xdr:row>
      <xdr:rowOff>152941</xdr:rowOff>
    </xdr:to>
    <xdr:graphicFrame macro="">
      <xdr:nvGraphicFramePr>
        <xdr:cNvPr id="8" name="Chart 9">
          <a:extLst>
            <a:ext uri="{FF2B5EF4-FFF2-40B4-BE49-F238E27FC236}">
              <a16:creationId xmlns:a16="http://schemas.microsoft.com/office/drawing/2014/main" id="{5466DCC9-6EEE-4196-96E8-1DEAC6934A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163575</xdr:rowOff>
    </xdr:from>
    <xdr:to>
      <xdr:col>10</xdr:col>
      <xdr:colOff>58112</xdr:colOff>
      <xdr:row>30</xdr:row>
      <xdr:rowOff>164116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1CA632-7895-4A19-827E-F48F6A158C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10</xdr:col>
      <xdr:colOff>48587</xdr:colOff>
      <xdr:row>60</xdr:row>
      <xdr:rowOff>541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B0A4D0A-959A-48FC-9067-4A069F4C36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71</xdr:row>
      <xdr:rowOff>123825</xdr:rowOff>
    </xdr:from>
    <xdr:to>
      <xdr:col>10</xdr:col>
      <xdr:colOff>63827</xdr:colOff>
      <xdr:row>89</xdr:row>
      <xdr:rowOff>124366</xdr:rowOff>
    </xdr:to>
    <xdr:graphicFrame macro="">
      <xdr:nvGraphicFramePr>
        <xdr:cNvPr id="60" name="Chart 3">
          <a:extLst>
            <a:ext uri="{FF2B5EF4-FFF2-40B4-BE49-F238E27FC236}">
              <a16:creationId xmlns:a16="http://schemas.microsoft.com/office/drawing/2014/main" id="{DACC3A5B-A54B-49A1-8B8F-B934955968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101</xdr:row>
      <xdr:rowOff>160837</xdr:rowOff>
    </xdr:from>
    <xdr:to>
      <xdr:col>9</xdr:col>
      <xdr:colOff>327115</xdr:colOff>
      <xdr:row>120</xdr:row>
      <xdr:rowOff>46537</xdr:rowOff>
    </xdr:to>
    <xdr:graphicFrame macro="">
      <xdr:nvGraphicFramePr>
        <xdr:cNvPr id="6" name="Chart 4">
          <a:extLst>
            <a:ext uri="{FF2B5EF4-FFF2-40B4-BE49-F238E27FC236}">
              <a16:creationId xmlns:a16="http://schemas.microsoft.com/office/drawing/2014/main" id="{3B62560F-BE6A-4472-93DD-7E7D457AC5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131</xdr:row>
      <xdr:rowOff>171450</xdr:rowOff>
    </xdr:from>
    <xdr:to>
      <xdr:col>10</xdr:col>
      <xdr:colOff>58112</xdr:colOff>
      <xdr:row>149</xdr:row>
      <xdr:rowOff>171991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7AB4B2E8-7751-46DA-9E3E-99EF3B984D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953</xdr:rowOff>
    </xdr:from>
    <xdr:to>
      <xdr:col>7</xdr:col>
      <xdr:colOff>254698</xdr:colOff>
      <xdr:row>27</xdr:row>
      <xdr:rowOff>952</xdr:rowOff>
    </xdr:to>
    <xdr:graphicFrame macro="">
      <xdr:nvGraphicFramePr>
        <xdr:cNvPr id="19" name="Chart 1">
          <a:extLst>
            <a:ext uri="{FF2B5EF4-FFF2-40B4-BE49-F238E27FC236}">
              <a16:creationId xmlns:a16="http://schemas.microsoft.com/office/drawing/2014/main" id="{D786118F-9753-CC0C-A1A4-625A04591B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-1</xdr:colOff>
      <xdr:row>12</xdr:row>
      <xdr:rowOff>0</xdr:rowOff>
    </xdr:from>
    <xdr:to>
      <xdr:col>19</xdr:col>
      <xdr:colOff>171354</xdr:colOff>
      <xdr:row>27</xdr:row>
      <xdr:rowOff>0</xdr:rowOff>
    </xdr:to>
    <xdr:graphicFrame macro="">
      <xdr:nvGraphicFramePr>
        <xdr:cNvPr id="20" name="Chart 2">
          <a:extLst>
            <a:ext uri="{FF2B5EF4-FFF2-40B4-BE49-F238E27FC236}">
              <a16:creationId xmlns:a16="http://schemas.microsoft.com/office/drawing/2014/main" id="{D07028FD-BCA2-4B2F-BB4A-26095E91B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172877</xdr:rowOff>
    </xdr:from>
    <xdr:to>
      <xdr:col>9</xdr:col>
      <xdr:colOff>596750</xdr:colOff>
      <xdr:row>54</xdr:row>
      <xdr:rowOff>166590</xdr:rowOff>
    </xdr:to>
    <xdr:graphicFrame macro="">
      <xdr:nvGraphicFramePr>
        <xdr:cNvPr id="13" name="Chart 3">
          <a:extLst>
            <a:ext uri="{FF2B5EF4-FFF2-40B4-BE49-F238E27FC236}">
              <a16:creationId xmlns:a16="http://schemas.microsoft.com/office/drawing/2014/main" id="{039D954D-0F0E-4B45-B32A-00D374FAD9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35</xdr:row>
      <xdr:rowOff>0</xdr:rowOff>
    </xdr:from>
    <xdr:to>
      <xdr:col>20</xdr:col>
      <xdr:colOff>351472</xdr:colOff>
      <xdr:row>54</xdr:row>
      <xdr:rowOff>171450</xdr:rowOff>
    </xdr:to>
    <xdr:graphicFrame macro="">
      <xdr:nvGraphicFramePr>
        <xdr:cNvPr id="14" name="Chart 4">
          <a:extLst>
            <a:ext uri="{FF2B5EF4-FFF2-40B4-BE49-F238E27FC236}">
              <a16:creationId xmlns:a16="http://schemas.microsoft.com/office/drawing/2014/main" id="{BF3C2A2B-17D7-481E-BEEF-3E09712668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63</xdr:row>
      <xdr:rowOff>1692</xdr:rowOff>
    </xdr:from>
    <xdr:to>
      <xdr:col>9</xdr:col>
      <xdr:colOff>589597</xdr:colOff>
      <xdr:row>82</xdr:row>
      <xdr:rowOff>131393</xdr:rowOff>
    </xdr:to>
    <xdr:graphicFrame macro="">
      <xdr:nvGraphicFramePr>
        <xdr:cNvPr id="15" name="Chart 6">
          <a:extLst>
            <a:ext uri="{FF2B5EF4-FFF2-40B4-BE49-F238E27FC236}">
              <a16:creationId xmlns:a16="http://schemas.microsoft.com/office/drawing/2014/main" id="{21F4A2F8-2624-889F-C89E-AF4BD17F18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601873</xdr:colOff>
      <xdr:row>63</xdr:row>
      <xdr:rowOff>0</xdr:rowOff>
    </xdr:from>
    <xdr:to>
      <xdr:col>20</xdr:col>
      <xdr:colOff>340411</xdr:colOff>
      <xdr:row>82</xdr:row>
      <xdr:rowOff>130810</xdr:rowOff>
    </xdr:to>
    <xdr:graphicFrame macro="">
      <xdr:nvGraphicFramePr>
        <xdr:cNvPr id="18" name="Chart 7">
          <a:extLst>
            <a:ext uri="{FF2B5EF4-FFF2-40B4-BE49-F238E27FC236}">
              <a16:creationId xmlns:a16="http://schemas.microsoft.com/office/drawing/2014/main" id="{F29BAF1D-B27F-4647-9DC9-1AB9705918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173355</xdr:rowOff>
    </xdr:from>
    <xdr:to>
      <xdr:col>7</xdr:col>
      <xdr:colOff>123730</xdr:colOff>
      <xdr:row>26</xdr:row>
      <xdr:rowOff>173355</xdr:rowOff>
    </xdr:to>
    <xdr:graphicFrame macro="">
      <xdr:nvGraphicFramePr>
        <xdr:cNvPr id="16" name="Chart 1">
          <a:extLst>
            <a:ext uri="{FF2B5EF4-FFF2-40B4-BE49-F238E27FC236}">
              <a16:creationId xmlns:a16="http://schemas.microsoft.com/office/drawing/2014/main" id="{E53722A4-EEB0-428F-9A38-7A395253D0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12</xdr:row>
      <xdr:rowOff>0</xdr:rowOff>
    </xdr:from>
    <xdr:to>
      <xdr:col>19</xdr:col>
      <xdr:colOff>100775</xdr:colOff>
      <xdr:row>27</xdr:row>
      <xdr:rowOff>0</xdr:rowOff>
    </xdr:to>
    <xdr:graphicFrame macro="">
      <xdr:nvGraphicFramePr>
        <xdr:cNvPr id="19" name="Chart 2">
          <a:extLst>
            <a:ext uri="{FF2B5EF4-FFF2-40B4-BE49-F238E27FC236}">
              <a16:creationId xmlns:a16="http://schemas.microsoft.com/office/drawing/2014/main" id="{CE4FCEAE-73BD-4921-BE57-E5DEA2D6FB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170974</xdr:rowOff>
    </xdr:from>
    <xdr:to>
      <xdr:col>9</xdr:col>
      <xdr:colOff>592940</xdr:colOff>
      <xdr:row>54</xdr:row>
      <xdr:rowOff>164687</xdr:rowOff>
    </xdr:to>
    <xdr:graphicFrame macro="">
      <xdr:nvGraphicFramePr>
        <xdr:cNvPr id="10" name="Chart 3">
          <a:extLst>
            <a:ext uri="{FF2B5EF4-FFF2-40B4-BE49-F238E27FC236}">
              <a16:creationId xmlns:a16="http://schemas.microsoft.com/office/drawing/2014/main" id="{A291375D-F4E0-44EC-BC6F-03EF069D9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35</xdr:row>
      <xdr:rowOff>0</xdr:rowOff>
    </xdr:from>
    <xdr:to>
      <xdr:col>19</xdr:col>
      <xdr:colOff>107642</xdr:colOff>
      <xdr:row>54</xdr:row>
      <xdr:rowOff>167640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325015F-0147-48A5-AA1E-64BAC6F9E7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62</xdr:row>
      <xdr:rowOff>168380</xdr:rowOff>
    </xdr:from>
    <xdr:to>
      <xdr:col>9</xdr:col>
      <xdr:colOff>216324</xdr:colOff>
      <xdr:row>82</xdr:row>
      <xdr:rowOff>115677</xdr:rowOff>
    </xdr:to>
    <xdr:graphicFrame macro="">
      <xdr:nvGraphicFramePr>
        <xdr:cNvPr id="12" name="Chart 5">
          <a:extLst>
            <a:ext uri="{FF2B5EF4-FFF2-40B4-BE49-F238E27FC236}">
              <a16:creationId xmlns:a16="http://schemas.microsoft.com/office/drawing/2014/main" id="{DB7E0410-8916-4116-AB23-D727076B30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847</xdr:colOff>
      <xdr:row>63</xdr:row>
      <xdr:rowOff>0</xdr:rowOff>
    </xdr:from>
    <xdr:to>
      <xdr:col>19</xdr:col>
      <xdr:colOff>316019</xdr:colOff>
      <xdr:row>82</xdr:row>
      <xdr:rowOff>130810</xdr:rowOff>
    </xdr:to>
    <xdr:graphicFrame macro="">
      <xdr:nvGraphicFramePr>
        <xdr:cNvPr id="15" name="Chart 6">
          <a:extLst>
            <a:ext uri="{FF2B5EF4-FFF2-40B4-BE49-F238E27FC236}">
              <a16:creationId xmlns:a16="http://schemas.microsoft.com/office/drawing/2014/main" id="{C34AAC35-4802-4803-9E5A-2900B60B47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4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5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6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7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8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9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0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1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2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3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4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5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6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7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8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9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0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1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2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3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4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5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6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7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8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8D561-4267-4DE8-BEF8-056C91F152FF}">
  <dimension ref="A1:B97"/>
  <sheetViews>
    <sheetView tabSelected="1" topLeftCell="A75" workbookViewId="0">
      <selection activeCell="B82" sqref="B82"/>
    </sheetView>
  </sheetViews>
  <sheetFormatPr defaultRowHeight="14.4" x14ac:dyDescent="0.3"/>
  <cols>
    <col min="1" max="1" width="31.6640625" bestFit="1" customWidth="1"/>
    <col min="2" max="2" width="133.5546875" bestFit="1" customWidth="1"/>
  </cols>
  <sheetData>
    <row r="1" spans="1:2" ht="21" x14ac:dyDescent="0.3">
      <c r="A1" s="93" t="s">
        <v>0</v>
      </c>
      <c r="B1" s="94"/>
    </row>
    <row r="2" spans="1:2" ht="18" x14ac:dyDescent="0.3">
      <c r="A2" s="95">
        <v>45547</v>
      </c>
      <c r="B2" s="96"/>
    </row>
    <row r="3" spans="1:2" x14ac:dyDescent="0.3">
      <c r="A3" s="41" t="s">
        <v>1</v>
      </c>
      <c r="B3" s="42" t="s">
        <v>2</v>
      </c>
    </row>
    <row r="4" spans="1:2" x14ac:dyDescent="0.3">
      <c r="A4" s="92" t="s">
        <v>3</v>
      </c>
      <c r="B4" s="44" t="s">
        <v>4</v>
      </c>
    </row>
    <row r="5" spans="1:2" x14ac:dyDescent="0.3">
      <c r="A5" s="92"/>
      <c r="B5" s="43" t="s">
        <v>5</v>
      </c>
    </row>
    <row r="6" spans="1:2" x14ac:dyDescent="0.3">
      <c r="A6" s="92"/>
      <c r="B6" s="43" t="s">
        <v>6</v>
      </c>
    </row>
    <row r="7" spans="1:2" x14ac:dyDescent="0.3">
      <c r="A7" s="92"/>
      <c r="B7" s="43" t="s">
        <v>7</v>
      </c>
    </row>
    <row r="8" spans="1:2" x14ac:dyDescent="0.3">
      <c r="A8" s="92"/>
      <c r="B8" s="43" t="s">
        <v>8</v>
      </c>
    </row>
    <row r="9" spans="1:2" x14ac:dyDescent="0.3">
      <c r="A9" s="92"/>
      <c r="B9" s="43" t="s">
        <v>9</v>
      </c>
    </row>
    <row r="10" spans="1:2" x14ac:dyDescent="0.3">
      <c r="A10" s="92"/>
      <c r="B10" s="43" t="s">
        <v>10</v>
      </c>
    </row>
    <row r="11" spans="1:2" x14ac:dyDescent="0.3">
      <c r="A11" s="92"/>
      <c r="B11" s="43" t="s">
        <v>11</v>
      </c>
    </row>
    <row r="12" spans="1:2" x14ac:dyDescent="0.3">
      <c r="A12" s="92"/>
      <c r="B12" s="43" t="s">
        <v>12</v>
      </c>
    </row>
    <row r="13" spans="1:2" x14ac:dyDescent="0.3">
      <c r="A13" s="92"/>
      <c r="B13" s="43" t="s">
        <v>13</v>
      </c>
    </row>
    <row r="14" spans="1:2" x14ac:dyDescent="0.3">
      <c r="A14" s="92"/>
      <c r="B14" s="43" t="s">
        <v>14</v>
      </c>
    </row>
    <row r="15" spans="1:2" x14ac:dyDescent="0.3">
      <c r="A15" s="92"/>
      <c r="B15" s="43" t="s">
        <v>15</v>
      </c>
    </row>
    <row r="16" spans="1:2" x14ac:dyDescent="0.3">
      <c r="A16" s="92"/>
      <c r="B16" s="43" t="s">
        <v>16</v>
      </c>
    </row>
    <row r="17" spans="1:2" x14ac:dyDescent="0.3">
      <c r="A17" s="92"/>
      <c r="B17" s="43" t="s">
        <v>17</v>
      </c>
    </row>
    <row r="18" spans="1:2" x14ac:dyDescent="0.3">
      <c r="A18" s="92"/>
      <c r="B18" s="43" t="s">
        <v>18</v>
      </c>
    </row>
    <row r="19" spans="1:2" x14ac:dyDescent="0.3">
      <c r="A19" s="92" t="s">
        <v>19</v>
      </c>
      <c r="B19" s="44" t="s">
        <v>20</v>
      </c>
    </row>
    <row r="20" spans="1:2" x14ac:dyDescent="0.3">
      <c r="A20" s="92"/>
      <c r="B20" s="43" t="s">
        <v>21</v>
      </c>
    </row>
    <row r="21" spans="1:2" x14ac:dyDescent="0.3">
      <c r="A21" s="92"/>
      <c r="B21" s="43" t="s">
        <v>22</v>
      </c>
    </row>
    <row r="22" spans="1:2" x14ac:dyDescent="0.3">
      <c r="A22" s="89" t="s">
        <v>23</v>
      </c>
      <c r="B22" s="44" t="s">
        <v>24</v>
      </c>
    </row>
    <row r="23" spans="1:2" x14ac:dyDescent="0.3">
      <c r="A23" s="90"/>
      <c r="B23" s="43" t="s">
        <v>25</v>
      </c>
    </row>
    <row r="24" spans="1:2" x14ac:dyDescent="0.3">
      <c r="A24" s="90"/>
      <c r="B24" s="43" t="s">
        <v>26</v>
      </c>
    </row>
    <row r="25" spans="1:2" x14ac:dyDescent="0.3">
      <c r="A25" s="90"/>
      <c r="B25" s="43" t="s">
        <v>27</v>
      </c>
    </row>
    <row r="26" spans="1:2" x14ac:dyDescent="0.3">
      <c r="A26" s="90"/>
      <c r="B26" s="43" t="s">
        <v>28</v>
      </c>
    </row>
    <row r="27" spans="1:2" x14ac:dyDescent="0.3">
      <c r="A27" s="90"/>
      <c r="B27" s="43" t="s">
        <v>29</v>
      </c>
    </row>
    <row r="28" spans="1:2" x14ac:dyDescent="0.3">
      <c r="A28" s="90"/>
      <c r="B28" s="43" t="s">
        <v>30</v>
      </c>
    </row>
    <row r="29" spans="1:2" x14ac:dyDescent="0.3">
      <c r="A29" s="90"/>
      <c r="B29" s="43" t="s">
        <v>31</v>
      </c>
    </row>
    <row r="30" spans="1:2" x14ac:dyDescent="0.3">
      <c r="A30" s="90"/>
      <c r="B30" s="43" t="s">
        <v>32</v>
      </c>
    </row>
    <row r="31" spans="1:2" x14ac:dyDescent="0.3">
      <c r="A31" s="91"/>
      <c r="B31" s="43" t="s">
        <v>33</v>
      </c>
    </row>
    <row r="32" spans="1:2" x14ac:dyDescent="0.3">
      <c r="A32" s="89" t="s">
        <v>34</v>
      </c>
      <c r="B32" s="44" t="s">
        <v>35</v>
      </c>
    </row>
    <row r="33" spans="1:2" x14ac:dyDescent="0.3">
      <c r="A33" s="90"/>
      <c r="B33" s="43" t="s">
        <v>36</v>
      </c>
    </row>
    <row r="34" spans="1:2" x14ac:dyDescent="0.3">
      <c r="A34" s="90"/>
      <c r="B34" s="43" t="s">
        <v>37</v>
      </c>
    </row>
    <row r="35" spans="1:2" x14ac:dyDescent="0.3">
      <c r="A35" s="90"/>
      <c r="B35" s="43" t="s">
        <v>38</v>
      </c>
    </row>
    <row r="36" spans="1:2" x14ac:dyDescent="0.3">
      <c r="A36" s="90"/>
      <c r="B36" s="43" t="s">
        <v>39</v>
      </c>
    </row>
    <row r="37" spans="1:2" x14ac:dyDescent="0.3">
      <c r="A37" s="90"/>
      <c r="B37" s="43" t="s">
        <v>40</v>
      </c>
    </row>
    <row r="38" spans="1:2" x14ac:dyDescent="0.3">
      <c r="A38" s="90"/>
      <c r="B38" s="43" t="s">
        <v>41</v>
      </c>
    </row>
    <row r="39" spans="1:2" x14ac:dyDescent="0.3">
      <c r="A39" s="90"/>
      <c r="B39" s="43" t="s">
        <v>42</v>
      </c>
    </row>
    <row r="40" spans="1:2" x14ac:dyDescent="0.3">
      <c r="A40" s="90"/>
      <c r="B40" s="43" t="s">
        <v>43</v>
      </c>
    </row>
    <row r="41" spans="1:2" x14ac:dyDescent="0.3">
      <c r="A41" s="91"/>
      <c r="B41" s="43" t="s">
        <v>44</v>
      </c>
    </row>
    <row r="42" spans="1:2" x14ac:dyDescent="0.3">
      <c r="A42" s="89" t="s">
        <v>45</v>
      </c>
      <c r="B42" s="44" t="s">
        <v>46</v>
      </c>
    </row>
    <row r="43" spans="1:2" x14ac:dyDescent="0.3">
      <c r="A43" s="90"/>
      <c r="B43" s="43" t="s">
        <v>47</v>
      </c>
    </row>
    <row r="44" spans="1:2" x14ac:dyDescent="0.3">
      <c r="A44" s="90"/>
      <c r="B44" s="43" t="s">
        <v>48</v>
      </c>
    </row>
    <row r="45" spans="1:2" x14ac:dyDescent="0.3">
      <c r="A45" s="90"/>
      <c r="B45" s="43" t="s">
        <v>49</v>
      </c>
    </row>
    <row r="46" spans="1:2" x14ac:dyDescent="0.3">
      <c r="A46" s="90"/>
      <c r="B46" s="43" t="s">
        <v>50</v>
      </c>
    </row>
    <row r="47" spans="1:2" x14ac:dyDescent="0.3">
      <c r="A47" s="90"/>
      <c r="B47" s="43" t="s">
        <v>51</v>
      </c>
    </row>
    <row r="48" spans="1:2" x14ac:dyDescent="0.3">
      <c r="A48" s="90"/>
      <c r="B48" s="43" t="s">
        <v>52</v>
      </c>
    </row>
    <row r="49" spans="1:2" x14ac:dyDescent="0.3">
      <c r="A49" s="90"/>
      <c r="B49" s="43" t="s">
        <v>53</v>
      </c>
    </row>
    <row r="50" spans="1:2" x14ac:dyDescent="0.3">
      <c r="A50" s="90"/>
      <c r="B50" s="43" t="s">
        <v>54</v>
      </c>
    </row>
    <row r="51" spans="1:2" x14ac:dyDescent="0.3">
      <c r="A51" s="91"/>
      <c r="B51" s="43" t="s">
        <v>55</v>
      </c>
    </row>
    <row r="52" spans="1:2" x14ac:dyDescent="0.3">
      <c r="A52" s="89" t="s">
        <v>56</v>
      </c>
      <c r="B52" s="44" t="s">
        <v>57</v>
      </c>
    </row>
    <row r="53" spans="1:2" x14ac:dyDescent="0.3">
      <c r="A53" s="90"/>
      <c r="B53" s="43" t="s">
        <v>58</v>
      </c>
    </row>
    <row r="54" spans="1:2" x14ac:dyDescent="0.3">
      <c r="A54" s="90"/>
      <c r="B54" s="43" t="s">
        <v>59</v>
      </c>
    </row>
    <row r="55" spans="1:2" x14ac:dyDescent="0.3">
      <c r="A55" s="90"/>
      <c r="B55" s="43" t="s">
        <v>60</v>
      </c>
    </row>
    <row r="56" spans="1:2" x14ac:dyDescent="0.3">
      <c r="A56" s="90"/>
      <c r="B56" s="43" t="s">
        <v>61</v>
      </c>
    </row>
    <row r="57" spans="1:2" x14ac:dyDescent="0.3">
      <c r="A57" s="90"/>
      <c r="B57" s="43" t="s">
        <v>62</v>
      </c>
    </row>
    <row r="58" spans="1:2" x14ac:dyDescent="0.3">
      <c r="A58" s="90"/>
      <c r="B58" s="43" t="s">
        <v>63</v>
      </c>
    </row>
    <row r="59" spans="1:2" x14ac:dyDescent="0.3">
      <c r="A59" s="90"/>
      <c r="B59" s="43" t="s">
        <v>64</v>
      </c>
    </row>
    <row r="60" spans="1:2" x14ac:dyDescent="0.3">
      <c r="A60" s="90"/>
      <c r="B60" s="43" t="s">
        <v>65</v>
      </c>
    </row>
    <row r="61" spans="1:2" x14ac:dyDescent="0.3">
      <c r="A61" s="91"/>
      <c r="B61" s="43" t="s">
        <v>66</v>
      </c>
    </row>
    <row r="62" spans="1:2" x14ac:dyDescent="0.3">
      <c r="A62" s="89" t="s">
        <v>67</v>
      </c>
      <c r="B62" s="44" t="s">
        <v>68</v>
      </c>
    </row>
    <row r="63" spans="1:2" x14ac:dyDescent="0.3">
      <c r="A63" s="90"/>
      <c r="B63" s="43" t="s">
        <v>69</v>
      </c>
    </row>
    <row r="64" spans="1:2" x14ac:dyDescent="0.3">
      <c r="A64" s="90"/>
      <c r="B64" s="43" t="s">
        <v>70</v>
      </c>
    </row>
    <row r="65" spans="1:2" x14ac:dyDescent="0.3">
      <c r="A65" s="90"/>
      <c r="B65" s="43" t="s">
        <v>71</v>
      </c>
    </row>
    <row r="66" spans="1:2" x14ac:dyDescent="0.3">
      <c r="A66" s="90"/>
      <c r="B66" s="43" t="s">
        <v>72</v>
      </c>
    </row>
    <row r="67" spans="1:2" x14ac:dyDescent="0.3">
      <c r="A67" s="90"/>
      <c r="B67" s="43" t="s">
        <v>73</v>
      </c>
    </row>
    <row r="68" spans="1:2" x14ac:dyDescent="0.3">
      <c r="A68" s="90"/>
      <c r="B68" s="43" t="s">
        <v>74</v>
      </c>
    </row>
    <row r="69" spans="1:2" x14ac:dyDescent="0.3">
      <c r="A69" s="90"/>
      <c r="B69" s="43" t="s">
        <v>75</v>
      </c>
    </row>
    <row r="70" spans="1:2" x14ac:dyDescent="0.3">
      <c r="A70" s="90"/>
      <c r="B70" s="43" t="s">
        <v>76</v>
      </c>
    </row>
    <row r="71" spans="1:2" x14ac:dyDescent="0.3">
      <c r="A71" s="91"/>
      <c r="B71" s="43" t="s">
        <v>77</v>
      </c>
    </row>
    <row r="72" spans="1:2" x14ac:dyDescent="0.3">
      <c r="A72" s="89" t="s">
        <v>78</v>
      </c>
      <c r="B72" s="44" t="s">
        <v>79</v>
      </c>
    </row>
    <row r="73" spans="1:2" x14ac:dyDescent="0.3">
      <c r="A73" s="90"/>
      <c r="B73" s="43" t="s">
        <v>80</v>
      </c>
    </row>
    <row r="74" spans="1:2" x14ac:dyDescent="0.3">
      <c r="A74" s="90"/>
      <c r="B74" s="43" t="s">
        <v>81</v>
      </c>
    </row>
    <row r="75" spans="1:2" x14ac:dyDescent="0.3">
      <c r="A75" s="90"/>
      <c r="B75" s="43" t="s">
        <v>82</v>
      </c>
    </row>
    <row r="76" spans="1:2" x14ac:dyDescent="0.3">
      <c r="A76" s="90"/>
      <c r="B76" s="43" t="s">
        <v>83</v>
      </c>
    </row>
    <row r="77" spans="1:2" x14ac:dyDescent="0.3">
      <c r="A77" s="90"/>
      <c r="B77" s="43" t="s">
        <v>84</v>
      </c>
    </row>
    <row r="78" spans="1:2" x14ac:dyDescent="0.3">
      <c r="A78" s="90"/>
      <c r="B78" s="43" t="s">
        <v>85</v>
      </c>
    </row>
    <row r="79" spans="1:2" x14ac:dyDescent="0.3">
      <c r="A79" s="90"/>
      <c r="B79" s="43" t="s">
        <v>86</v>
      </c>
    </row>
    <row r="80" spans="1:2" x14ac:dyDescent="0.3">
      <c r="A80" s="90"/>
      <c r="B80" s="43" t="s">
        <v>87</v>
      </c>
    </row>
    <row r="81" spans="1:2" x14ac:dyDescent="0.3">
      <c r="A81" s="91"/>
      <c r="B81" s="43" t="s">
        <v>88</v>
      </c>
    </row>
    <row r="82" spans="1:2" x14ac:dyDescent="0.3">
      <c r="A82" s="92" t="s">
        <v>89</v>
      </c>
      <c r="B82" s="44" t="s">
        <v>494</v>
      </c>
    </row>
    <row r="83" spans="1:2" x14ac:dyDescent="0.3">
      <c r="A83" s="92"/>
      <c r="B83" s="43" t="s">
        <v>493</v>
      </c>
    </row>
    <row r="84" spans="1:2" x14ac:dyDescent="0.3">
      <c r="A84" s="92"/>
      <c r="B84" s="43" t="s">
        <v>492</v>
      </c>
    </row>
    <row r="85" spans="1:2" x14ac:dyDescent="0.3">
      <c r="A85" s="92"/>
      <c r="B85" s="43" t="s">
        <v>491</v>
      </c>
    </row>
    <row r="86" spans="1:2" x14ac:dyDescent="0.3">
      <c r="A86" s="92"/>
      <c r="B86" s="43" t="s">
        <v>490</v>
      </c>
    </row>
    <row r="87" spans="1:2" x14ac:dyDescent="0.3">
      <c r="A87" s="92"/>
      <c r="B87" s="43" t="s">
        <v>489</v>
      </c>
    </row>
    <row r="88" spans="1:2" x14ac:dyDescent="0.3">
      <c r="A88" s="92"/>
      <c r="B88" s="43" t="s">
        <v>482</v>
      </c>
    </row>
    <row r="89" spans="1:2" x14ac:dyDescent="0.3">
      <c r="A89" s="92"/>
      <c r="B89" s="43" t="s">
        <v>473</v>
      </c>
    </row>
    <row r="90" spans="1:2" x14ac:dyDescent="0.3">
      <c r="A90" s="92"/>
      <c r="B90" s="43" t="s">
        <v>475</v>
      </c>
    </row>
    <row r="91" spans="1:2" x14ac:dyDescent="0.3">
      <c r="A91" s="92"/>
      <c r="B91" s="43" t="s">
        <v>476</v>
      </c>
    </row>
    <row r="92" spans="1:2" x14ac:dyDescent="0.3">
      <c r="A92" s="92" t="s">
        <v>90</v>
      </c>
      <c r="B92" s="44" t="s">
        <v>488</v>
      </c>
    </row>
    <row r="93" spans="1:2" x14ac:dyDescent="0.3">
      <c r="A93" s="92"/>
      <c r="B93" s="43" t="s">
        <v>487</v>
      </c>
    </row>
    <row r="94" spans="1:2" x14ac:dyDescent="0.3">
      <c r="A94" s="92"/>
      <c r="B94" s="43" t="s">
        <v>486</v>
      </c>
    </row>
    <row r="95" spans="1:2" x14ac:dyDescent="0.3">
      <c r="A95" s="92"/>
      <c r="B95" s="43" t="s">
        <v>485</v>
      </c>
    </row>
    <row r="96" spans="1:2" x14ac:dyDescent="0.3">
      <c r="A96" s="92"/>
      <c r="B96" s="43" t="s">
        <v>484</v>
      </c>
    </row>
    <row r="97" spans="1:2" x14ac:dyDescent="0.3">
      <c r="A97" s="92"/>
      <c r="B97" s="45" t="s">
        <v>483</v>
      </c>
    </row>
  </sheetData>
  <mergeCells count="12">
    <mergeCell ref="A42:A51"/>
    <mergeCell ref="A32:A41"/>
    <mergeCell ref="A1:B1"/>
    <mergeCell ref="A2:B2"/>
    <mergeCell ref="A4:A18"/>
    <mergeCell ref="A19:A21"/>
    <mergeCell ref="A22:A31"/>
    <mergeCell ref="A52:A61"/>
    <mergeCell ref="A62:A71"/>
    <mergeCell ref="A72:A81"/>
    <mergeCell ref="A82:A91"/>
    <mergeCell ref="A92:A9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AD2DB-5D4D-4DBA-88F5-0D2280E4197D}">
  <dimension ref="A1:V120"/>
  <sheetViews>
    <sheetView zoomScale="90" zoomScaleNormal="90" workbookViewId="0"/>
  </sheetViews>
  <sheetFormatPr defaultRowHeight="14.4" x14ac:dyDescent="0.3"/>
  <cols>
    <col min="1" max="1" width="15.6640625" customWidth="1"/>
    <col min="2" max="2" width="13" customWidth="1"/>
    <col min="3" max="3" width="14.44140625" customWidth="1"/>
    <col min="4" max="4" width="13.6640625" customWidth="1"/>
    <col min="5" max="9" width="12.88671875" customWidth="1"/>
    <col min="12" max="12" width="19" customWidth="1"/>
    <col min="13" max="13" width="17.109375" customWidth="1"/>
    <col min="14" max="14" width="13" customWidth="1"/>
    <col min="15" max="15" width="14.44140625" customWidth="1"/>
    <col min="16" max="16" width="13.6640625" customWidth="1"/>
    <col min="17" max="20" width="12.88671875" customWidth="1"/>
  </cols>
  <sheetData>
    <row r="1" spans="1:17" ht="36" customHeight="1" x14ac:dyDescent="0.3">
      <c r="A1" s="53" t="s">
        <v>459</v>
      </c>
    </row>
    <row r="3" spans="1:17" ht="18" x14ac:dyDescent="0.35">
      <c r="A3" s="103" t="s">
        <v>481</v>
      </c>
      <c r="B3" s="103"/>
      <c r="C3" s="103"/>
      <c r="D3" s="103"/>
      <c r="E3" s="103"/>
      <c r="M3" s="103" t="s">
        <v>460</v>
      </c>
      <c r="N3" s="103"/>
      <c r="O3" s="103"/>
      <c r="P3" s="103"/>
      <c r="Q3" s="103"/>
    </row>
    <row r="4" spans="1:17" x14ac:dyDescent="0.3">
      <c r="A4" s="30"/>
      <c r="B4" s="30"/>
      <c r="C4" s="30"/>
      <c r="D4" s="30"/>
      <c r="E4" s="30"/>
      <c r="M4" s="30"/>
      <c r="N4" s="30"/>
      <c r="O4" s="30"/>
      <c r="P4" s="30"/>
      <c r="Q4" s="30"/>
    </row>
    <row r="5" spans="1:17" x14ac:dyDescent="0.3">
      <c r="A5" s="2" t="str">
        <f>CONCATENATE("Table 79a. Low Income High School Count ",A7," to ",A11)</f>
        <v>Table 79a. Low Income High School Count Class of 2017 to Class of 2023</v>
      </c>
      <c r="B5" s="30"/>
      <c r="C5" s="30"/>
      <c r="D5" s="30"/>
      <c r="E5" s="30"/>
      <c r="M5" s="2" t="str">
        <f>CONCATENATE("Table 79b. Higher Income High School Count ",M7," to ",M11)</f>
        <v>Table 79b. Higher Income High School Count Class of 2017 to Class of 2023</v>
      </c>
      <c r="N5" s="30"/>
      <c r="O5" s="30"/>
      <c r="P5" s="30"/>
      <c r="Q5" s="30"/>
    </row>
    <row r="6" spans="1:17" ht="34.950000000000003" customHeight="1" x14ac:dyDescent="0.3">
      <c r="A6" s="71" t="s">
        <v>461</v>
      </c>
      <c r="B6" s="71" t="s">
        <v>462</v>
      </c>
      <c r="C6" s="71" t="s">
        <v>463</v>
      </c>
      <c r="D6" s="71" t="s">
        <v>464</v>
      </c>
      <c r="E6" s="71" t="s">
        <v>465</v>
      </c>
      <c r="M6" s="71" t="s">
        <v>461</v>
      </c>
      <c r="N6" s="71" t="s">
        <v>462</v>
      </c>
      <c r="O6" s="71" t="s">
        <v>463</v>
      </c>
      <c r="P6" s="71" t="s">
        <v>464</v>
      </c>
      <c r="Q6" s="71" t="s">
        <v>465</v>
      </c>
    </row>
    <row r="7" spans="1:17" x14ac:dyDescent="0.3">
      <c r="A7" s="87" t="s">
        <v>466</v>
      </c>
      <c r="B7" s="15">
        <v>4041</v>
      </c>
      <c r="C7" s="15">
        <v>7003</v>
      </c>
      <c r="D7" s="15">
        <v>779081</v>
      </c>
      <c r="E7" s="15">
        <v>1163115</v>
      </c>
      <c r="M7" s="87" t="s">
        <v>466</v>
      </c>
      <c r="N7" s="15">
        <v>6740</v>
      </c>
      <c r="O7" s="15">
        <v>10065</v>
      </c>
      <c r="P7" s="15">
        <v>1407132</v>
      </c>
      <c r="Q7" s="15">
        <v>2004207</v>
      </c>
    </row>
    <row r="8" spans="1:17" x14ac:dyDescent="0.3">
      <c r="A8" s="87" t="s">
        <v>467</v>
      </c>
      <c r="B8" s="15">
        <v>4546</v>
      </c>
      <c r="C8" s="15">
        <v>7230</v>
      </c>
      <c r="D8" s="15">
        <v>888784</v>
      </c>
      <c r="E8" s="15">
        <v>1212017</v>
      </c>
      <c r="M8" s="87" t="s">
        <v>467</v>
      </c>
      <c r="N8" s="15">
        <v>6818</v>
      </c>
      <c r="O8" s="15">
        <v>9906</v>
      </c>
      <c r="P8" s="15">
        <v>1461492</v>
      </c>
      <c r="Q8" s="15">
        <v>1987136</v>
      </c>
    </row>
    <row r="9" spans="1:17" x14ac:dyDescent="0.3">
      <c r="A9" s="87" t="s">
        <v>468</v>
      </c>
      <c r="B9" s="15">
        <v>3842</v>
      </c>
      <c r="C9" s="15">
        <v>6155</v>
      </c>
      <c r="D9" s="15">
        <v>776995</v>
      </c>
      <c r="E9" s="15">
        <v>1067365</v>
      </c>
      <c r="M9" s="87" t="s">
        <v>468</v>
      </c>
      <c r="N9" s="15">
        <v>7474</v>
      </c>
      <c r="O9" s="15">
        <v>10992</v>
      </c>
      <c r="P9" s="15">
        <v>1567233</v>
      </c>
      <c r="Q9" s="15">
        <v>2159537</v>
      </c>
    </row>
    <row r="10" spans="1:17" x14ac:dyDescent="0.3">
      <c r="A10" s="87" t="s">
        <v>469</v>
      </c>
      <c r="B10" s="15">
        <v>3836</v>
      </c>
      <c r="C10" s="15">
        <v>5919</v>
      </c>
      <c r="D10" s="15">
        <v>784912</v>
      </c>
      <c r="E10" s="15">
        <v>1034721</v>
      </c>
      <c r="M10" s="87" t="s">
        <v>469</v>
      </c>
      <c r="N10" s="15">
        <v>7555</v>
      </c>
      <c r="O10" s="15">
        <v>11463</v>
      </c>
      <c r="P10" s="15">
        <v>1537457</v>
      </c>
      <c r="Q10" s="15">
        <v>2174830</v>
      </c>
    </row>
    <row r="11" spans="1:17" x14ac:dyDescent="0.3">
      <c r="A11" s="87" t="s">
        <v>470</v>
      </c>
      <c r="B11" s="15">
        <v>4465</v>
      </c>
      <c r="C11" s="15">
        <v>7713</v>
      </c>
      <c r="D11" s="15">
        <v>864767</v>
      </c>
      <c r="E11" s="15">
        <v>1316376</v>
      </c>
      <c r="M11" s="87" t="s">
        <v>470</v>
      </c>
      <c r="N11" s="15">
        <v>6100</v>
      </c>
      <c r="O11" s="15">
        <v>9731</v>
      </c>
      <c r="P11" s="15">
        <v>1252455</v>
      </c>
      <c r="Q11" s="15">
        <v>1883954</v>
      </c>
    </row>
    <row r="29" spans="1:20" ht="32.4" customHeight="1" x14ac:dyDescent="0.3">
      <c r="A29" s="112" t="str">
        <f>CONCATENATE("Table 80a. Low Income College Enrollment Rates in the First Fall after High School Graduation for Classes ",A33," and ",A34,", Student-Weighted Totals")</f>
        <v>Table 80a. Low Income College Enrollment Rates in the First Fall after High School Graduation for Classes 2023 and 2023 Adjusted to 2022 Flags, Student-Weighted Totals</v>
      </c>
      <c r="B29" s="112"/>
      <c r="C29" s="112"/>
      <c r="D29" s="112"/>
      <c r="E29" s="112"/>
      <c r="F29" s="112"/>
      <c r="G29" s="112"/>
      <c r="H29" s="112"/>
      <c r="I29" s="112"/>
      <c r="L29" s="112" t="str">
        <f>CONCATENATE("Table 80b. Higher Income College Enrollment Rates in the First Fall after High School Graduation for Classes ",L33," and ",L34,", Student-Weighted Totals")</f>
        <v>Table 80b. Higher Income College Enrollment Rates in the First Fall after High School Graduation for Classes 2023 and 2023 Adjusted to 2022 Flags, Student-Weighted Totals</v>
      </c>
      <c r="M29" s="112"/>
      <c r="N29" s="112"/>
      <c r="O29" s="112"/>
      <c r="P29" s="112"/>
      <c r="Q29" s="112"/>
      <c r="R29" s="112"/>
      <c r="S29" s="112"/>
      <c r="T29" s="112"/>
    </row>
    <row r="30" spans="1:20" ht="5.4" customHeight="1" x14ac:dyDescent="0.3">
      <c r="A30" s="83"/>
      <c r="B30" s="83"/>
      <c r="C30" s="83"/>
      <c r="D30" s="83"/>
      <c r="E30" s="83"/>
      <c r="F30" s="83"/>
      <c r="G30" s="83"/>
      <c r="H30" s="83"/>
      <c r="I30" s="83"/>
      <c r="L30" s="83"/>
      <c r="M30" s="83"/>
      <c r="N30" s="83"/>
      <c r="O30" s="83"/>
      <c r="P30" s="83"/>
      <c r="Q30" s="83"/>
      <c r="R30" s="83"/>
      <c r="S30" s="83"/>
      <c r="T30" s="83"/>
    </row>
    <row r="31" spans="1:20" ht="4.2" customHeight="1" x14ac:dyDescent="0.3">
      <c r="A31" s="80"/>
      <c r="B31" s="80"/>
      <c r="C31" s="80"/>
      <c r="D31" s="80"/>
      <c r="E31" s="80"/>
      <c r="F31" s="80"/>
      <c r="G31" s="80"/>
      <c r="H31" s="80"/>
      <c r="I31" s="80"/>
      <c r="L31" s="80"/>
      <c r="M31" s="80"/>
      <c r="N31" s="80"/>
      <c r="O31" s="80"/>
      <c r="P31" s="80"/>
      <c r="Q31" s="80"/>
      <c r="R31" s="80"/>
      <c r="S31" s="80"/>
      <c r="T31" s="80"/>
    </row>
    <row r="32" spans="1:20" ht="28.8" x14ac:dyDescent="0.3">
      <c r="A32" s="59"/>
      <c r="B32" s="60" t="s">
        <v>438</v>
      </c>
      <c r="C32" s="61" t="s">
        <v>439</v>
      </c>
      <c r="D32" s="61" t="s">
        <v>105</v>
      </c>
      <c r="E32" s="61" t="s">
        <v>106</v>
      </c>
      <c r="F32" s="61" t="s">
        <v>440</v>
      </c>
      <c r="G32" s="61" t="s">
        <v>441</v>
      </c>
      <c r="H32" s="61" t="s">
        <v>442</v>
      </c>
      <c r="I32" s="61" t="s">
        <v>443</v>
      </c>
      <c r="L32" s="59"/>
      <c r="M32" s="60" t="s">
        <v>438</v>
      </c>
      <c r="N32" s="61" t="s">
        <v>439</v>
      </c>
      <c r="O32" s="61" t="s">
        <v>105</v>
      </c>
      <c r="P32" s="61" t="s">
        <v>106</v>
      </c>
      <c r="Q32" s="61" t="s">
        <v>440</v>
      </c>
      <c r="R32" s="61" t="s">
        <v>441</v>
      </c>
      <c r="S32" s="61" t="s">
        <v>442</v>
      </c>
      <c r="T32" s="61" t="s">
        <v>443</v>
      </c>
    </row>
    <row r="33" spans="1:22" x14ac:dyDescent="0.3">
      <c r="A33" s="62">
        <v>2023</v>
      </c>
      <c r="B33" s="15">
        <v>809709</v>
      </c>
      <c r="C33" s="11">
        <v>0.5229755381254253</v>
      </c>
      <c r="D33" s="11">
        <v>0.45608978040258907</v>
      </c>
      <c r="E33" s="11">
        <v>6.6885757722836225E-2</v>
      </c>
      <c r="F33" s="11">
        <v>0.2227269302922408</v>
      </c>
      <c r="G33" s="11">
        <v>0.30024860783318452</v>
      </c>
      <c r="H33" s="11">
        <v>0.46919942843663587</v>
      </c>
      <c r="I33" s="11">
        <v>5.3776109688789431E-2</v>
      </c>
      <c r="L33" s="62">
        <v>2023</v>
      </c>
      <c r="M33" s="15">
        <v>1183533</v>
      </c>
      <c r="N33" s="11">
        <v>0.65144782612736607</v>
      </c>
      <c r="O33" s="11">
        <v>0.51721160288728751</v>
      </c>
      <c r="P33" s="11">
        <v>0.13423622324007864</v>
      </c>
      <c r="Q33" s="11">
        <v>0.16585764824470461</v>
      </c>
      <c r="R33" s="11">
        <v>0.48559017788266151</v>
      </c>
      <c r="S33" s="11">
        <v>0.49095631469506978</v>
      </c>
      <c r="T33" s="11">
        <v>0.16049151143229634</v>
      </c>
      <c r="V33" s="28"/>
    </row>
    <row r="34" spans="1:22" ht="28.8" x14ac:dyDescent="0.3">
      <c r="A34" s="62" t="s">
        <v>471</v>
      </c>
      <c r="B34" s="15">
        <v>654113</v>
      </c>
      <c r="C34" s="11">
        <v>0.52638611371429711</v>
      </c>
      <c r="D34" s="11">
        <v>0.46383423047699707</v>
      </c>
      <c r="E34" s="11">
        <v>6.2551883237299974E-2</v>
      </c>
      <c r="F34" s="11">
        <v>0.23141720161501148</v>
      </c>
      <c r="G34" s="11">
        <v>0.29496891209928561</v>
      </c>
      <c r="H34" s="11">
        <v>0.4768457437782157</v>
      </c>
      <c r="I34" s="11">
        <v>4.954036993608138E-2</v>
      </c>
      <c r="L34" s="62" t="s">
        <v>471</v>
      </c>
      <c r="M34" s="15">
        <v>1339129</v>
      </c>
      <c r="N34" s="11">
        <v>0.63485444643495881</v>
      </c>
      <c r="O34" s="11">
        <v>0.50632687366191009</v>
      </c>
      <c r="P34" s="11">
        <v>0.12852757277304874</v>
      </c>
      <c r="Q34" s="11">
        <v>0.16822053737914719</v>
      </c>
      <c r="R34" s="11">
        <v>0.46663390905581165</v>
      </c>
      <c r="S34" s="11">
        <v>0.48469340892475632</v>
      </c>
      <c r="T34" s="11">
        <v>0.15016103751020252</v>
      </c>
      <c r="V34" s="28"/>
    </row>
    <row r="36" spans="1:22" x14ac:dyDescent="0.3">
      <c r="A36" s="62">
        <v>2023</v>
      </c>
    </row>
    <row r="37" spans="1:22" ht="28.8" x14ac:dyDescent="0.3">
      <c r="A37" s="62" t="s">
        <v>471</v>
      </c>
    </row>
    <row r="39" spans="1:22" x14ac:dyDescent="0.3">
      <c r="A39" s="62">
        <v>2023</v>
      </c>
    </row>
    <row r="40" spans="1:22" ht="28.8" x14ac:dyDescent="0.3">
      <c r="A40" s="62" t="s">
        <v>471</v>
      </c>
    </row>
    <row r="57" spans="1:22" ht="32.4" customHeight="1" x14ac:dyDescent="0.3">
      <c r="A57" s="112" t="str">
        <f>CONCATENATE("Table 81a. Low Income Persistence Rates from First to Second Year of College for Class of ",A61," and ",A62,", Student-Weighted Totals")</f>
        <v>Table 81a. Low Income Persistence Rates from First to Second Year of College for Class of 2021 and 2021 Adjusted to 2020 Flags, Student-Weighted Totals</v>
      </c>
      <c r="B57" s="112"/>
      <c r="C57" s="112"/>
      <c r="D57" s="112"/>
      <c r="E57" s="112"/>
      <c r="F57" s="112"/>
      <c r="G57" s="112"/>
      <c r="H57" s="112"/>
      <c r="I57" s="112"/>
      <c r="L57" s="112" t="str">
        <f>CONCATENATE("Table 81b. Higher Income Persistence Rates from First to Second Year of College for Class of ",L61," and ",L62,", Student-Weighted Totals")</f>
        <v>Table 81b. Higher Income Persistence Rates from First to Second Year of College for Class of 2021 and 2021 Adjusted to 2020 Flags, Student-Weighted Totals</v>
      </c>
      <c r="M57" s="112"/>
      <c r="N57" s="112"/>
      <c r="O57" s="112"/>
      <c r="P57" s="112"/>
      <c r="Q57" s="112"/>
      <c r="R57" s="112"/>
      <c r="S57" s="112"/>
      <c r="T57" s="112"/>
    </row>
    <row r="58" spans="1:22" ht="5.4" customHeight="1" x14ac:dyDescent="0.3">
      <c r="A58" s="83"/>
      <c r="B58" s="83"/>
      <c r="C58" s="83"/>
      <c r="D58" s="83"/>
      <c r="E58" s="83"/>
      <c r="F58" s="83"/>
      <c r="G58" s="83"/>
      <c r="H58" s="83"/>
      <c r="I58" s="83"/>
      <c r="L58" s="83"/>
      <c r="M58" s="83"/>
      <c r="N58" s="83"/>
      <c r="O58" s="83"/>
      <c r="P58" s="83"/>
      <c r="Q58" s="83"/>
      <c r="R58" s="83"/>
      <c r="S58" s="83"/>
      <c r="T58" s="83"/>
    </row>
    <row r="59" spans="1:22" ht="4.2" customHeight="1" x14ac:dyDescent="0.3">
      <c r="A59" s="80"/>
      <c r="B59" s="80"/>
      <c r="C59" s="80"/>
      <c r="D59" s="80"/>
      <c r="E59" s="80"/>
      <c r="F59" s="80"/>
      <c r="G59" s="80"/>
      <c r="H59" s="80"/>
      <c r="I59" s="80"/>
      <c r="L59" s="80"/>
      <c r="M59" s="80"/>
      <c r="N59" s="80"/>
      <c r="O59" s="80"/>
      <c r="P59" s="80"/>
      <c r="Q59" s="80"/>
      <c r="R59" s="80"/>
      <c r="S59" s="80"/>
      <c r="T59" s="80"/>
    </row>
    <row r="60" spans="1:22" ht="45.6" customHeight="1" x14ac:dyDescent="0.3">
      <c r="A60" s="59"/>
      <c r="B60" s="88" t="s">
        <v>444</v>
      </c>
      <c r="C60" s="61" t="s">
        <v>439</v>
      </c>
      <c r="D60" s="61" t="s">
        <v>105</v>
      </c>
      <c r="E60" s="61" t="s">
        <v>106</v>
      </c>
      <c r="F60" s="61" t="s">
        <v>440</v>
      </c>
      <c r="G60" s="61" t="s">
        <v>441</v>
      </c>
      <c r="H60" s="61" t="s">
        <v>442</v>
      </c>
      <c r="I60" s="61" t="s">
        <v>443</v>
      </c>
      <c r="L60" s="59"/>
      <c r="M60" s="88" t="s">
        <v>444</v>
      </c>
      <c r="N60" s="61" t="s">
        <v>439</v>
      </c>
      <c r="O60" s="61" t="s">
        <v>105</v>
      </c>
      <c r="P60" s="61" t="s">
        <v>106</v>
      </c>
      <c r="Q60" s="61" t="s">
        <v>440</v>
      </c>
      <c r="R60" s="61" t="s">
        <v>441</v>
      </c>
      <c r="S60" s="61" t="s">
        <v>442</v>
      </c>
      <c r="T60" s="61" t="s">
        <v>443</v>
      </c>
    </row>
    <row r="61" spans="1:22" x14ac:dyDescent="0.3">
      <c r="A61" s="62">
        <v>2021</v>
      </c>
      <c r="B61" s="15">
        <v>387679</v>
      </c>
      <c r="C61" s="11">
        <v>0.7832304561247837</v>
      </c>
      <c r="D61" s="11">
        <v>0.77743996203966503</v>
      </c>
      <c r="E61" s="11">
        <v>0.82595634320293931</v>
      </c>
      <c r="F61" s="11">
        <v>0.70131543260103069</v>
      </c>
      <c r="G61" s="11">
        <v>0.85217762798756325</v>
      </c>
      <c r="H61" s="11">
        <v>0.77917851847150665</v>
      </c>
      <c r="I61" s="11">
        <v>0.81745741647781267</v>
      </c>
      <c r="L61" s="62">
        <v>2021</v>
      </c>
      <c r="M61" s="15">
        <v>976447</v>
      </c>
      <c r="N61" s="11">
        <v>0.86713052526148371</v>
      </c>
      <c r="O61" s="11">
        <v>0.85398516357187781</v>
      </c>
      <c r="P61" s="11">
        <v>0.91799779572010631</v>
      </c>
      <c r="Q61" s="11">
        <v>0.74065756409580541</v>
      </c>
      <c r="R61" s="11">
        <v>0.91914797674828663</v>
      </c>
      <c r="S61" s="11">
        <v>0.85026298068069861</v>
      </c>
      <c r="T61" s="11">
        <v>0.92111013610007053</v>
      </c>
      <c r="V61" s="28"/>
    </row>
    <row r="62" spans="1:22" ht="28.8" x14ac:dyDescent="0.3">
      <c r="A62" s="62" t="s">
        <v>472</v>
      </c>
      <c r="B62" s="15">
        <v>432569</v>
      </c>
      <c r="C62" s="11">
        <v>0.78028628760067686</v>
      </c>
      <c r="D62" s="11">
        <v>0.77437434310327935</v>
      </c>
      <c r="E62" s="11">
        <v>0.82099947127568418</v>
      </c>
      <c r="F62" s="11">
        <v>0.69775732598417228</v>
      </c>
      <c r="G62" s="11">
        <v>0.84991843393148447</v>
      </c>
      <c r="H62" s="11">
        <v>0.77585558383074316</v>
      </c>
      <c r="I62" s="11">
        <v>0.81656930430164631</v>
      </c>
      <c r="L62" s="62" t="s">
        <v>472</v>
      </c>
      <c r="M62" s="15">
        <v>931554</v>
      </c>
      <c r="N62" s="11">
        <v>0.87254093697198443</v>
      </c>
      <c r="O62" s="11">
        <v>0.85930904498833172</v>
      </c>
      <c r="P62" s="11">
        <v>0.92352818589142438</v>
      </c>
      <c r="Q62" s="11">
        <v>0.74642472588301312</v>
      </c>
      <c r="R62" s="11">
        <v>0.92236055538251427</v>
      </c>
      <c r="S62" s="11">
        <v>0.85599674379818358</v>
      </c>
      <c r="T62" s="11">
        <v>0.92405868272993053</v>
      </c>
      <c r="V62" s="28"/>
    </row>
    <row r="64" spans="1:22" x14ac:dyDescent="0.3">
      <c r="A64" s="62"/>
    </row>
    <row r="65" spans="1:1" x14ac:dyDescent="0.3">
      <c r="A65" s="62"/>
    </row>
    <row r="67" spans="1:1" x14ac:dyDescent="0.3">
      <c r="A67" s="62"/>
    </row>
    <row r="68" spans="1:1" x14ac:dyDescent="0.3">
      <c r="A68" s="62"/>
    </row>
    <row r="85" spans="1:17" x14ac:dyDescent="0.3">
      <c r="A85" s="81" t="s">
        <v>482</v>
      </c>
      <c r="B85" s="81"/>
      <c r="C85" s="81"/>
      <c r="D85" s="20"/>
      <c r="E85" s="81"/>
      <c r="F85" s="81"/>
      <c r="L85" s="81" t="s">
        <v>473</v>
      </c>
      <c r="M85" s="81"/>
      <c r="N85" s="81"/>
      <c r="O85" s="20"/>
      <c r="P85" s="81"/>
      <c r="Q85" s="81"/>
    </row>
    <row r="86" spans="1:17" x14ac:dyDescent="0.3">
      <c r="A86" s="86"/>
      <c r="B86" s="111">
        <v>2023</v>
      </c>
      <c r="C86" s="108"/>
      <c r="D86" s="81"/>
      <c r="E86" s="107" t="s">
        <v>474</v>
      </c>
      <c r="F86" s="108"/>
      <c r="L86" s="70"/>
      <c r="M86" s="111">
        <v>2023</v>
      </c>
      <c r="N86" s="108"/>
      <c r="P86" s="107" t="s">
        <v>474</v>
      </c>
      <c r="Q86" s="108"/>
    </row>
    <row r="87" spans="1:17" ht="43.2" x14ac:dyDescent="0.3">
      <c r="A87" s="21"/>
      <c r="B87" s="22" t="s">
        <v>133</v>
      </c>
      <c r="C87" s="23" t="s">
        <v>134</v>
      </c>
      <c r="D87" s="24"/>
      <c r="E87" s="22" t="s">
        <v>133</v>
      </c>
      <c r="F87" s="22" t="s">
        <v>134</v>
      </c>
      <c r="L87" s="21"/>
      <c r="M87" s="22" t="s">
        <v>135</v>
      </c>
      <c r="N87" s="22" t="s">
        <v>136</v>
      </c>
      <c r="O87" s="24"/>
      <c r="P87" s="25" t="s">
        <v>135</v>
      </c>
      <c r="Q87" s="22" t="s">
        <v>136</v>
      </c>
    </row>
    <row r="88" spans="1:17" x14ac:dyDescent="0.3">
      <c r="A88" s="109" t="s">
        <v>102</v>
      </c>
      <c r="B88" s="11">
        <v>0.52105815669066369</v>
      </c>
      <c r="C88" s="11">
        <v>0.52968097396249891</v>
      </c>
      <c r="D88" s="84"/>
      <c r="E88" s="11">
        <v>0.52143822243338955</v>
      </c>
      <c r="F88" s="11">
        <v>0.54950610967053748</v>
      </c>
      <c r="L88" s="109" t="s">
        <v>102</v>
      </c>
      <c r="M88" s="11">
        <v>0.60434261870725958</v>
      </c>
      <c r="N88" s="11">
        <v>0.66463286049682979</v>
      </c>
      <c r="O88" s="84"/>
      <c r="P88" s="11">
        <v>0.58211772242033588</v>
      </c>
      <c r="Q88" s="11">
        <v>0.65349257460265486</v>
      </c>
    </row>
    <row r="89" spans="1:17" x14ac:dyDescent="0.3">
      <c r="A89" s="110"/>
      <c r="B89" s="15">
        <v>328090</v>
      </c>
      <c r="C89" s="15">
        <v>95368</v>
      </c>
      <c r="D89" s="85"/>
      <c r="E89" s="15">
        <v>280953</v>
      </c>
      <c r="F89" s="15">
        <v>63363</v>
      </c>
      <c r="L89" s="110"/>
      <c r="M89" s="15">
        <v>156422</v>
      </c>
      <c r="N89" s="15">
        <v>614588</v>
      </c>
      <c r="O89" s="85"/>
      <c r="P89" s="15">
        <v>203559</v>
      </c>
      <c r="Q89" s="15">
        <v>646593</v>
      </c>
    </row>
    <row r="90" spans="1:17" x14ac:dyDescent="0.3">
      <c r="A90" s="109" t="s">
        <v>103</v>
      </c>
      <c r="B90" s="11">
        <v>0.45654407689216897</v>
      </c>
      <c r="C90" s="11">
        <v>0.45450102194970232</v>
      </c>
      <c r="D90" s="84"/>
      <c r="E90" s="11">
        <v>0.45976830164586752</v>
      </c>
      <c r="F90" s="11">
        <v>0.48283308328057656</v>
      </c>
      <c r="L90" s="109" t="s">
        <v>103</v>
      </c>
      <c r="M90" s="11">
        <v>0.50889000502260173</v>
      </c>
      <c r="N90" s="11">
        <v>0.51954086879787353</v>
      </c>
      <c r="O90" s="84"/>
      <c r="P90" s="11">
        <v>0.49032134451666776</v>
      </c>
      <c r="Q90" s="11">
        <v>0.51198352202554576</v>
      </c>
    </row>
    <row r="91" spans="1:17" x14ac:dyDescent="0.3">
      <c r="A91" s="110"/>
      <c r="B91" s="15">
        <v>287468</v>
      </c>
      <c r="C91" s="15">
        <v>81832</v>
      </c>
      <c r="D91" s="85"/>
      <c r="E91" s="15">
        <v>247725</v>
      </c>
      <c r="F91" s="15">
        <v>55675</v>
      </c>
      <c r="L91" s="110"/>
      <c r="M91" s="15">
        <v>131716</v>
      </c>
      <c r="N91" s="15">
        <v>480421</v>
      </c>
      <c r="O91" s="85"/>
      <c r="P91" s="15">
        <v>171459</v>
      </c>
      <c r="Q91" s="15">
        <v>506578</v>
      </c>
    </row>
    <row r="92" spans="1:17" x14ac:dyDescent="0.3">
      <c r="A92" s="97" t="s">
        <v>104</v>
      </c>
      <c r="B92" s="11">
        <v>6.4514079798494744E-2</v>
      </c>
      <c r="C92" s="11">
        <v>7.5179952012796591E-2</v>
      </c>
      <c r="D92" s="84"/>
      <c r="E92" s="11">
        <v>6.1669920787521995E-2</v>
      </c>
      <c r="F92" s="11">
        <v>6.6673026389960893E-2</v>
      </c>
      <c r="L92" s="97" t="s">
        <v>104</v>
      </c>
      <c r="M92" s="11">
        <v>9.5452613684657878E-2</v>
      </c>
      <c r="N92" s="11">
        <v>0.14509199169895631</v>
      </c>
      <c r="O92" s="84"/>
      <c r="P92" s="11">
        <v>9.1796377903668139E-2</v>
      </c>
      <c r="Q92" s="11">
        <v>0.14150905257710911</v>
      </c>
    </row>
    <row r="93" spans="1:17" x14ac:dyDescent="0.3">
      <c r="A93" s="98"/>
      <c r="B93" s="15">
        <v>40622</v>
      </c>
      <c r="C93" s="15">
        <v>13536</v>
      </c>
      <c r="D93" s="85"/>
      <c r="E93" s="15">
        <v>33228</v>
      </c>
      <c r="F93" s="15">
        <v>7688</v>
      </c>
      <c r="L93" s="98"/>
      <c r="M93" s="15">
        <v>24706</v>
      </c>
      <c r="N93" s="15">
        <v>134167</v>
      </c>
      <c r="O93" s="85"/>
      <c r="P93" s="15">
        <v>32100</v>
      </c>
      <c r="Q93" s="15">
        <v>140015</v>
      </c>
    </row>
    <row r="94" spans="1:17" x14ac:dyDescent="0.3">
      <c r="A94" s="97" t="s">
        <v>105</v>
      </c>
      <c r="B94" s="11">
        <v>0.29877505514872288</v>
      </c>
      <c r="C94" s="11">
        <v>0.30540189282857905</v>
      </c>
      <c r="D94" s="84"/>
      <c r="E94" s="11">
        <v>0.29423129746624005</v>
      </c>
      <c r="F94" s="11">
        <v>0.29841556166474431</v>
      </c>
      <c r="L94" s="97" t="s">
        <v>105</v>
      </c>
      <c r="M94" s="11">
        <v>0.41084495614882355</v>
      </c>
      <c r="N94" s="11">
        <v>0.50651182055211241</v>
      </c>
      <c r="O94" s="84"/>
      <c r="P94" s="11">
        <v>0.38872763356944923</v>
      </c>
      <c r="Q94" s="11">
        <v>0.494167419616309</v>
      </c>
    </row>
    <row r="95" spans="1:17" x14ac:dyDescent="0.3">
      <c r="A95" s="98"/>
      <c r="B95" s="15">
        <v>188127</v>
      </c>
      <c r="C95" s="15">
        <v>54987</v>
      </c>
      <c r="D95" s="85"/>
      <c r="E95" s="15">
        <v>158533</v>
      </c>
      <c r="F95" s="15">
        <v>34410</v>
      </c>
      <c r="L95" s="98"/>
      <c r="M95" s="15">
        <v>106339</v>
      </c>
      <c r="N95" s="15">
        <v>468373</v>
      </c>
      <c r="O95" s="85"/>
      <c r="P95" s="15">
        <v>135933</v>
      </c>
      <c r="Q95" s="15">
        <v>488950</v>
      </c>
    </row>
    <row r="96" spans="1:17" x14ac:dyDescent="0.3">
      <c r="A96" s="97" t="s">
        <v>106</v>
      </c>
      <c r="B96" s="11">
        <v>0.22228310154194081</v>
      </c>
      <c r="C96" s="11">
        <v>0.22427908113391984</v>
      </c>
      <c r="D96" s="84"/>
      <c r="E96" s="11">
        <v>0.22720692496714948</v>
      </c>
      <c r="F96" s="11">
        <v>0.25109054800579311</v>
      </c>
      <c r="L96" s="97" t="s">
        <v>106</v>
      </c>
      <c r="M96" s="11">
        <v>0.19349766255843603</v>
      </c>
      <c r="N96" s="11">
        <v>0.15812103994471738</v>
      </c>
      <c r="O96" s="84"/>
      <c r="P96" s="11">
        <v>0.19339008885088665</v>
      </c>
      <c r="Q96" s="11">
        <v>0.15932515498634583</v>
      </c>
    </row>
    <row r="97" spans="1:17" x14ac:dyDescent="0.3">
      <c r="A97" s="98"/>
      <c r="B97" s="15">
        <v>139963</v>
      </c>
      <c r="C97" s="15">
        <v>40381</v>
      </c>
      <c r="D97" s="85"/>
      <c r="E97" s="15">
        <v>122420</v>
      </c>
      <c r="F97" s="15">
        <v>28953</v>
      </c>
      <c r="L97" s="98"/>
      <c r="M97" s="15">
        <v>50083</v>
      </c>
      <c r="N97" s="15">
        <v>146215</v>
      </c>
      <c r="O97" s="85"/>
      <c r="P97" s="15">
        <v>67626</v>
      </c>
      <c r="Q97" s="15">
        <v>157643</v>
      </c>
    </row>
    <row r="98" spans="1:17" x14ac:dyDescent="0.3">
      <c r="A98" s="97" t="s">
        <v>107</v>
      </c>
      <c r="B98" s="11">
        <v>0.4684076034564631</v>
      </c>
      <c r="C98" s="11">
        <v>0.47196858615480314</v>
      </c>
      <c r="D98" s="84"/>
      <c r="E98" s="11">
        <v>0.47193784752897155</v>
      </c>
      <c r="F98" s="11">
        <v>0.49977885507636005</v>
      </c>
      <c r="L98" s="97" t="s">
        <v>107</v>
      </c>
      <c r="M98" s="11">
        <v>0.50188927095004443</v>
      </c>
      <c r="N98" s="11">
        <v>0.48789611367109226</v>
      </c>
      <c r="O98" s="84"/>
      <c r="P98" s="11">
        <v>0.48775047399531579</v>
      </c>
      <c r="Q98" s="11">
        <v>0.48361298590518698</v>
      </c>
    </row>
    <row r="99" spans="1:17" x14ac:dyDescent="0.3">
      <c r="A99" s="98"/>
      <c r="B99" s="15">
        <v>294938</v>
      </c>
      <c r="C99" s="15">
        <v>84977</v>
      </c>
      <c r="D99" s="85"/>
      <c r="E99" s="15">
        <v>254282</v>
      </c>
      <c r="F99" s="15">
        <v>57629</v>
      </c>
      <c r="L99" s="98"/>
      <c r="M99" s="15">
        <v>129904</v>
      </c>
      <c r="N99" s="15">
        <v>451159</v>
      </c>
      <c r="O99" s="85"/>
      <c r="P99" s="15">
        <v>170560</v>
      </c>
      <c r="Q99" s="15">
        <v>478507</v>
      </c>
    </row>
    <row r="100" spans="1:17" x14ac:dyDescent="0.3">
      <c r="A100" s="97" t="s">
        <v>108</v>
      </c>
      <c r="B100" s="11">
        <v>5.2650553234200627E-2</v>
      </c>
      <c r="C100" s="11">
        <v>5.7712387807695727E-2</v>
      </c>
      <c r="D100" s="84"/>
      <c r="E100" s="11">
        <v>4.9500374904417936E-2</v>
      </c>
      <c r="F100" s="11">
        <v>4.9727254594177386E-2</v>
      </c>
      <c r="L100" s="97" t="s">
        <v>108</v>
      </c>
      <c r="M100" s="11">
        <v>0.10245334775721517</v>
      </c>
      <c r="N100" s="11">
        <v>0.17673674682573756</v>
      </c>
      <c r="O100" s="84"/>
      <c r="P100" s="11">
        <v>9.4367248425020089E-2</v>
      </c>
      <c r="Q100" s="11">
        <v>0.16987958869746786</v>
      </c>
    </row>
    <row r="101" spans="1:17" x14ac:dyDescent="0.3">
      <c r="A101" s="98"/>
      <c r="B101" s="15">
        <v>33152</v>
      </c>
      <c r="C101" s="16">
        <v>10391</v>
      </c>
      <c r="D101" s="19"/>
      <c r="E101" s="18">
        <v>26671</v>
      </c>
      <c r="F101" s="15">
        <v>5734</v>
      </c>
      <c r="L101" s="98"/>
      <c r="M101" s="15">
        <v>26518</v>
      </c>
      <c r="N101" s="16">
        <v>163429</v>
      </c>
      <c r="O101" s="19"/>
      <c r="P101" s="18">
        <v>32999</v>
      </c>
      <c r="Q101" s="15">
        <v>168086</v>
      </c>
    </row>
    <row r="104" spans="1:17" x14ac:dyDescent="0.3">
      <c r="A104" s="81" t="s">
        <v>475</v>
      </c>
      <c r="B104" s="81"/>
      <c r="C104" s="81"/>
      <c r="D104" s="20"/>
      <c r="E104" s="81"/>
      <c r="F104" s="81"/>
      <c r="L104" s="81" t="s">
        <v>476</v>
      </c>
      <c r="M104" s="81"/>
      <c r="N104" s="81"/>
      <c r="O104" s="20"/>
      <c r="P104" s="81"/>
      <c r="Q104" s="81"/>
    </row>
    <row r="105" spans="1:17" x14ac:dyDescent="0.3">
      <c r="A105" s="86"/>
      <c r="B105" s="111">
        <v>2021</v>
      </c>
      <c r="C105" s="108"/>
      <c r="D105" s="81"/>
      <c r="E105" s="107" t="s">
        <v>477</v>
      </c>
      <c r="F105" s="108"/>
      <c r="L105" s="70"/>
      <c r="M105" s="111">
        <v>2023</v>
      </c>
      <c r="N105" s="108"/>
      <c r="P105" s="107" t="s">
        <v>474</v>
      </c>
      <c r="Q105" s="108"/>
    </row>
    <row r="106" spans="1:17" ht="43.2" x14ac:dyDescent="0.3">
      <c r="A106" s="21"/>
      <c r="B106" s="22" t="s">
        <v>133</v>
      </c>
      <c r="C106" s="23" t="s">
        <v>134</v>
      </c>
      <c r="D106" s="24"/>
      <c r="E106" s="22" t="s">
        <v>133</v>
      </c>
      <c r="F106" s="22" t="s">
        <v>134</v>
      </c>
      <c r="L106" s="21"/>
      <c r="M106" s="22" t="s">
        <v>135</v>
      </c>
      <c r="N106" s="22" t="s">
        <v>136</v>
      </c>
      <c r="O106" s="24"/>
      <c r="P106" s="25" t="s">
        <v>135</v>
      </c>
      <c r="Q106" s="22" t="s">
        <v>136</v>
      </c>
    </row>
    <row r="107" spans="1:17" x14ac:dyDescent="0.3">
      <c r="A107" s="109" t="s">
        <v>102</v>
      </c>
      <c r="B107" s="11">
        <v>0.78285339026874057</v>
      </c>
      <c r="C107" s="11">
        <v>0.78487056355908813</v>
      </c>
      <c r="D107" s="84"/>
      <c r="E107" s="11">
        <v>0.7806818020473939</v>
      </c>
      <c r="F107" s="11">
        <v>0.77855428578534391</v>
      </c>
      <c r="L107" s="109" t="s">
        <v>102</v>
      </c>
      <c r="M107" s="11">
        <v>0.83220160433416479</v>
      </c>
      <c r="N107" s="11">
        <v>0.87724620492732108</v>
      </c>
      <c r="O107" s="84"/>
      <c r="P107" s="11">
        <v>0.8463943138254989</v>
      </c>
      <c r="Q107" s="11">
        <v>0.87890424269604128</v>
      </c>
    </row>
    <row r="108" spans="1:17" x14ac:dyDescent="0.3">
      <c r="A108" s="110"/>
      <c r="B108" s="15">
        <v>246764</v>
      </c>
      <c r="C108" s="15">
        <v>56878</v>
      </c>
      <c r="D108" s="85"/>
      <c r="E108" s="15">
        <v>274921</v>
      </c>
      <c r="F108" s="15">
        <v>62609</v>
      </c>
      <c r="L108" s="110"/>
      <c r="M108" s="15">
        <v>182486</v>
      </c>
      <c r="N108" s="15">
        <v>664221</v>
      </c>
      <c r="O108" s="85"/>
      <c r="P108" s="15">
        <v>154329</v>
      </c>
      <c r="Q108" s="15">
        <v>658490</v>
      </c>
    </row>
    <row r="109" spans="1:17" x14ac:dyDescent="0.3">
      <c r="A109" s="109" t="s">
        <v>103</v>
      </c>
      <c r="B109" s="11">
        <v>0.77771953382497616</v>
      </c>
      <c r="C109" s="11">
        <v>0.77620175871006725</v>
      </c>
      <c r="D109" s="84"/>
      <c r="E109" s="11">
        <v>0.77548755556997762</v>
      </c>
      <c r="F109" s="11">
        <v>0.76944200825269937</v>
      </c>
      <c r="L109" s="109" t="s">
        <v>103</v>
      </c>
      <c r="M109" s="11">
        <v>0.82470718884883232</v>
      </c>
      <c r="N109" s="11">
        <v>0.86300834048464836</v>
      </c>
      <c r="O109" s="84"/>
      <c r="P109" s="11">
        <v>0.83829473258068943</v>
      </c>
      <c r="Q109" s="11">
        <v>0.86479670568576128</v>
      </c>
    </row>
    <row r="110" spans="1:17" x14ac:dyDescent="0.3">
      <c r="A110" s="110"/>
      <c r="B110" s="15">
        <v>216612</v>
      </c>
      <c r="C110" s="15">
        <v>48813</v>
      </c>
      <c r="D110" s="85"/>
      <c r="E110" s="15">
        <v>238982</v>
      </c>
      <c r="F110" s="15">
        <v>53517</v>
      </c>
      <c r="L110" s="110"/>
      <c r="M110" s="15">
        <v>150754</v>
      </c>
      <c r="N110" s="15">
        <v>511877</v>
      </c>
      <c r="O110" s="85"/>
      <c r="P110" s="15">
        <v>128384</v>
      </c>
      <c r="Q110" s="15">
        <v>507173</v>
      </c>
    </row>
    <row r="111" spans="1:17" x14ac:dyDescent="0.3">
      <c r="A111" s="97" t="s">
        <v>104</v>
      </c>
      <c r="B111" s="11">
        <v>0.82182670555207282</v>
      </c>
      <c r="C111" s="11">
        <v>0.84177017012837907</v>
      </c>
      <c r="D111" s="84"/>
      <c r="E111" s="11">
        <v>0.8170740025008526</v>
      </c>
      <c r="F111" s="11">
        <v>0.83689248895434465</v>
      </c>
      <c r="L111" s="97" t="s">
        <v>104</v>
      </c>
      <c r="M111" s="11">
        <v>0.86975112378028729</v>
      </c>
      <c r="N111" s="11">
        <v>0.92872862498856956</v>
      </c>
      <c r="O111" s="84"/>
      <c r="P111" s="11">
        <v>0.88889269562834039</v>
      </c>
      <c r="Q111" s="11">
        <v>0.92973972670074712</v>
      </c>
    </row>
    <row r="112" spans="1:17" x14ac:dyDescent="0.3">
      <c r="A112" s="98"/>
      <c r="B112" s="15">
        <v>30152</v>
      </c>
      <c r="C112" s="15">
        <v>8065</v>
      </c>
      <c r="D112" s="85"/>
      <c r="E112" s="15">
        <v>35939</v>
      </c>
      <c r="F112" s="15">
        <v>9092</v>
      </c>
      <c r="L112" s="98"/>
      <c r="M112" s="15">
        <v>31732</v>
      </c>
      <c r="N112" s="15">
        <v>152344</v>
      </c>
      <c r="O112" s="85"/>
      <c r="P112" s="15">
        <v>25945</v>
      </c>
      <c r="Q112" s="15">
        <v>151317</v>
      </c>
    </row>
    <row r="113" spans="1:17" x14ac:dyDescent="0.3">
      <c r="A113" s="97" t="s">
        <v>105</v>
      </c>
      <c r="B113" s="11">
        <v>0.85089629461874816</v>
      </c>
      <c r="C113" s="11">
        <v>0.85791553983773661</v>
      </c>
      <c r="D113" s="84"/>
      <c r="E113" s="11">
        <v>0.84950174246883614</v>
      </c>
      <c r="F113" s="11">
        <v>0.85178696566222845</v>
      </c>
      <c r="L113" s="97" t="s">
        <v>105</v>
      </c>
      <c r="M113" s="11">
        <v>0.89139875248533917</v>
      </c>
      <c r="N113" s="11">
        <v>0.92614402385860017</v>
      </c>
      <c r="O113" s="84"/>
      <c r="P113" s="11">
        <v>0.90033205918515857</v>
      </c>
      <c r="Q113" s="11">
        <v>0.92716444590367264</v>
      </c>
    </row>
    <row r="114" spans="1:17" x14ac:dyDescent="0.3">
      <c r="A114" s="98"/>
      <c r="B114" s="15">
        <v>146532</v>
      </c>
      <c r="C114" s="15">
        <v>32992</v>
      </c>
      <c r="D114" s="85"/>
      <c r="E114" s="15">
        <v>163078</v>
      </c>
      <c r="F114" s="15">
        <v>36465</v>
      </c>
      <c r="L114" s="98"/>
      <c r="M114" s="15">
        <v>124187</v>
      </c>
      <c r="N114" s="15">
        <v>511777</v>
      </c>
      <c r="O114" s="85"/>
      <c r="P114" s="15">
        <v>107641</v>
      </c>
      <c r="Q114" s="15">
        <v>508304</v>
      </c>
    </row>
    <row r="115" spans="1:17" x14ac:dyDescent="0.3">
      <c r="A115" s="97" t="s">
        <v>106</v>
      </c>
      <c r="B115" s="11">
        <v>0.70108558798019083</v>
      </c>
      <c r="C115" s="11">
        <v>0.70228154768905093</v>
      </c>
      <c r="D115" s="84"/>
      <c r="E115" s="11">
        <v>0.69836026675325324</v>
      </c>
      <c r="F115" s="11">
        <v>0.69518972531709522</v>
      </c>
      <c r="L115" s="97" t="s">
        <v>106</v>
      </c>
      <c r="M115" s="11">
        <v>0.72908381481203577</v>
      </c>
      <c r="N115" s="11">
        <v>0.74518142667898501</v>
      </c>
      <c r="O115" s="84"/>
      <c r="P115" s="11">
        <v>0.74370002230080601</v>
      </c>
      <c r="Q115" s="11">
        <v>0.74727582123416492</v>
      </c>
    </row>
    <row r="116" spans="1:17" x14ac:dyDescent="0.3">
      <c r="A116" s="98"/>
      <c r="B116" s="15">
        <v>100230</v>
      </c>
      <c r="C116" s="15">
        <v>23886</v>
      </c>
      <c r="D116" s="85"/>
      <c r="E116" s="15">
        <v>111841</v>
      </c>
      <c r="F116" s="15">
        <v>26144</v>
      </c>
      <c r="L116" s="98"/>
      <c r="M116" s="15">
        <v>58299</v>
      </c>
      <c r="N116" s="15">
        <v>152444</v>
      </c>
      <c r="O116" s="85"/>
      <c r="P116" s="15">
        <v>46688</v>
      </c>
      <c r="Q116" s="15">
        <v>150186</v>
      </c>
    </row>
    <row r="117" spans="1:17" x14ac:dyDescent="0.3">
      <c r="A117" s="97" t="s">
        <v>107</v>
      </c>
      <c r="B117" s="11">
        <v>0.77870046981650565</v>
      </c>
      <c r="C117" s="11">
        <v>0.78126499218471923</v>
      </c>
      <c r="D117" s="84"/>
      <c r="E117" s="11">
        <v>0.77610501193317427</v>
      </c>
      <c r="F117" s="11">
        <v>0.77475542829873534</v>
      </c>
      <c r="L117" s="97" t="s">
        <v>107</v>
      </c>
      <c r="M117" s="11">
        <v>0.82268371480268732</v>
      </c>
      <c r="N117" s="11">
        <v>0.85925552279881223</v>
      </c>
      <c r="O117" s="84"/>
      <c r="P117" s="11">
        <v>0.83750033176739125</v>
      </c>
      <c r="Q117" s="11">
        <v>0.86102473268783997</v>
      </c>
    </row>
    <row r="118" spans="1:17" x14ac:dyDescent="0.3">
      <c r="A118" s="98"/>
      <c r="B118" s="15">
        <v>219613</v>
      </c>
      <c r="C118" s="15">
        <v>50483</v>
      </c>
      <c r="D118" s="85"/>
      <c r="E118" s="15">
        <v>243891</v>
      </c>
      <c r="F118" s="15">
        <v>55199</v>
      </c>
      <c r="L118" s="98"/>
      <c r="M118" s="15">
        <v>150496</v>
      </c>
      <c r="N118" s="15">
        <v>482075</v>
      </c>
      <c r="O118" s="85"/>
      <c r="P118" s="15">
        <v>126218</v>
      </c>
      <c r="Q118" s="15">
        <v>477359</v>
      </c>
    </row>
    <row r="119" spans="1:17" x14ac:dyDescent="0.3">
      <c r="A119" s="97" t="s">
        <v>108</v>
      </c>
      <c r="B119" s="11">
        <v>0.81814620623154344</v>
      </c>
      <c r="C119" s="11">
        <v>0.81454591771748819</v>
      </c>
      <c r="D119" s="84"/>
      <c r="E119" s="11">
        <v>0.81862551114628679</v>
      </c>
      <c r="F119" s="11">
        <v>0.80806979280261726</v>
      </c>
      <c r="L119" s="97" t="s">
        <v>108</v>
      </c>
      <c r="M119" s="11">
        <v>0.88010344448112687</v>
      </c>
      <c r="N119" s="11">
        <v>0.92870982215695874</v>
      </c>
      <c r="O119" s="84"/>
      <c r="P119" s="11">
        <v>0.88877296152265328</v>
      </c>
      <c r="Q119" s="11">
        <v>0.92978763814813481</v>
      </c>
    </row>
    <row r="120" spans="1:17" x14ac:dyDescent="0.3">
      <c r="A120" s="98"/>
      <c r="B120" s="15">
        <v>27151</v>
      </c>
      <c r="C120" s="16">
        <v>6395</v>
      </c>
      <c r="D120" s="19"/>
      <c r="E120" s="18">
        <v>31030</v>
      </c>
      <c r="F120" s="15">
        <v>7410</v>
      </c>
      <c r="L120" s="98"/>
      <c r="M120" s="15">
        <v>31990</v>
      </c>
      <c r="N120" s="16">
        <v>182146</v>
      </c>
      <c r="O120" s="19"/>
      <c r="P120" s="18">
        <v>28111</v>
      </c>
      <c r="Q120" s="15">
        <v>181131</v>
      </c>
    </row>
  </sheetData>
  <mergeCells count="42">
    <mergeCell ref="A3:E3"/>
    <mergeCell ref="M3:Q3"/>
    <mergeCell ref="A29:I29"/>
    <mergeCell ref="L29:T29"/>
    <mergeCell ref="A57:I57"/>
    <mergeCell ref="L57:T57"/>
    <mergeCell ref="B86:C86"/>
    <mergeCell ref="E86:F86"/>
    <mergeCell ref="P86:Q86"/>
    <mergeCell ref="M86:N86"/>
    <mergeCell ref="A88:A89"/>
    <mergeCell ref="A90:A91"/>
    <mergeCell ref="A92:A93"/>
    <mergeCell ref="A94:A95"/>
    <mergeCell ref="A96:A97"/>
    <mergeCell ref="A98:A99"/>
    <mergeCell ref="A100:A101"/>
    <mergeCell ref="L92:L93"/>
    <mergeCell ref="L94:L95"/>
    <mergeCell ref="L96:L97"/>
    <mergeCell ref="L98:L99"/>
    <mergeCell ref="L100:L101"/>
    <mergeCell ref="L90:L91"/>
    <mergeCell ref="L88:L89"/>
    <mergeCell ref="B105:C105"/>
    <mergeCell ref="E105:F105"/>
    <mergeCell ref="M105:N105"/>
    <mergeCell ref="P105:Q105"/>
    <mergeCell ref="A107:A108"/>
    <mergeCell ref="L107:L108"/>
    <mergeCell ref="A109:A110"/>
    <mergeCell ref="L109:L110"/>
    <mergeCell ref="A117:A118"/>
    <mergeCell ref="L117:L118"/>
    <mergeCell ref="A119:A120"/>
    <mergeCell ref="L119:L120"/>
    <mergeCell ref="A111:A112"/>
    <mergeCell ref="L111:L112"/>
    <mergeCell ref="A113:A114"/>
    <mergeCell ref="L113:L114"/>
    <mergeCell ref="A115:A116"/>
    <mergeCell ref="L115:L11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D4A0A-6007-494B-86BC-A7F43164FFA6}">
  <dimension ref="A1:V68"/>
  <sheetViews>
    <sheetView zoomScale="90" zoomScaleNormal="90" workbookViewId="0"/>
  </sheetViews>
  <sheetFormatPr defaultRowHeight="14.4" x14ac:dyDescent="0.3"/>
  <cols>
    <col min="1" max="1" width="15.6640625" customWidth="1"/>
    <col min="2" max="2" width="13" customWidth="1"/>
    <col min="3" max="3" width="14.44140625" customWidth="1"/>
    <col min="4" max="4" width="13.6640625" customWidth="1"/>
    <col min="5" max="5" width="14.6640625" customWidth="1"/>
    <col min="6" max="9" width="12.88671875" customWidth="1"/>
    <col min="12" max="12" width="19" customWidth="1"/>
    <col min="13" max="13" width="17.109375" customWidth="1"/>
    <col min="14" max="14" width="13" customWidth="1"/>
    <col min="15" max="15" width="14.44140625" customWidth="1"/>
    <col min="16" max="16" width="13.6640625" customWidth="1"/>
    <col min="17" max="17" width="13.88671875" customWidth="1"/>
    <col min="18" max="20" width="12.88671875" customWidth="1"/>
  </cols>
  <sheetData>
    <row r="1" spans="1:17" ht="36" customHeight="1" x14ac:dyDescent="0.3">
      <c r="A1" s="53" t="s">
        <v>478</v>
      </c>
    </row>
    <row r="3" spans="1:17" ht="18" x14ac:dyDescent="0.35">
      <c r="A3" s="103" t="s">
        <v>479</v>
      </c>
      <c r="B3" s="103"/>
      <c r="C3" s="103"/>
      <c r="D3" s="103"/>
      <c r="E3" s="103"/>
      <c r="M3" s="103" t="s">
        <v>480</v>
      </c>
      <c r="N3" s="103"/>
      <c r="O3" s="103"/>
      <c r="P3" s="103"/>
      <c r="Q3" s="103"/>
    </row>
    <row r="4" spans="1:17" x14ac:dyDescent="0.3">
      <c r="A4" s="30"/>
      <c r="B4" s="30"/>
      <c r="C4" s="30"/>
      <c r="D4" s="30"/>
      <c r="E4" s="30"/>
      <c r="M4" s="30"/>
      <c r="N4" s="30"/>
      <c r="O4" s="30"/>
      <c r="P4" s="30"/>
      <c r="Q4" s="30"/>
    </row>
    <row r="5" spans="1:17" x14ac:dyDescent="0.3">
      <c r="A5" s="2" t="str">
        <f>CONCATENATE("Table 84a. High Poverty High School Count ",A7," to ",A11)</f>
        <v>Table 84a. High Poverty High School Count Class of 2017 to Class of 2023</v>
      </c>
      <c r="B5" s="30"/>
      <c r="C5" s="30"/>
      <c r="D5" s="30"/>
      <c r="E5" s="30"/>
      <c r="M5" s="2" t="str">
        <f>CONCATENATE("Table 84b. Low Poverty High School Count ",M7," to ",M11)</f>
        <v>Table 84b. Low Poverty High School Count Class of 2017 to Class of 2023</v>
      </c>
      <c r="N5" s="30"/>
      <c r="O5" s="30"/>
      <c r="P5" s="30"/>
      <c r="Q5" s="30"/>
    </row>
    <row r="6" spans="1:17" ht="34.950000000000003" customHeight="1" x14ac:dyDescent="0.3">
      <c r="A6" s="71" t="s">
        <v>461</v>
      </c>
      <c r="B6" s="71" t="s">
        <v>462</v>
      </c>
      <c r="C6" s="71" t="s">
        <v>463</v>
      </c>
      <c r="D6" s="71" t="s">
        <v>464</v>
      </c>
      <c r="E6" s="71" t="s">
        <v>465</v>
      </c>
      <c r="M6" s="71" t="s">
        <v>461</v>
      </c>
      <c r="N6" s="71" t="s">
        <v>462</v>
      </c>
      <c r="O6" s="71" t="s">
        <v>463</v>
      </c>
      <c r="P6" s="71" t="s">
        <v>464</v>
      </c>
      <c r="Q6" s="71" t="s">
        <v>465</v>
      </c>
    </row>
    <row r="7" spans="1:17" x14ac:dyDescent="0.3">
      <c r="A7" s="87" t="s">
        <v>466</v>
      </c>
      <c r="B7" s="15">
        <v>1556</v>
      </c>
      <c r="C7" s="15">
        <v>2617</v>
      </c>
      <c r="D7" s="15">
        <v>292835</v>
      </c>
      <c r="E7" s="15">
        <v>416362</v>
      </c>
      <c r="M7" s="87" t="s">
        <v>466</v>
      </c>
      <c r="N7" s="15">
        <v>2024</v>
      </c>
      <c r="O7" s="15">
        <v>2861</v>
      </c>
      <c r="P7" s="15">
        <v>560712</v>
      </c>
      <c r="Q7" s="15">
        <v>755109</v>
      </c>
    </row>
    <row r="8" spans="1:17" x14ac:dyDescent="0.3">
      <c r="A8" s="87" t="s">
        <v>467</v>
      </c>
      <c r="B8" s="15">
        <v>1818</v>
      </c>
      <c r="C8" s="15">
        <v>2864</v>
      </c>
      <c r="D8" s="15">
        <v>344117</v>
      </c>
      <c r="E8" s="15">
        <v>453448</v>
      </c>
      <c r="M8" s="87" t="s">
        <v>467</v>
      </c>
      <c r="N8" s="15">
        <v>2027</v>
      </c>
      <c r="O8" s="15">
        <v>2811</v>
      </c>
      <c r="P8" s="15">
        <v>574357</v>
      </c>
      <c r="Q8" s="15">
        <v>752563</v>
      </c>
    </row>
    <row r="9" spans="1:17" x14ac:dyDescent="0.3">
      <c r="A9" s="87" t="s">
        <v>468</v>
      </c>
      <c r="B9" s="15">
        <v>1759</v>
      </c>
      <c r="C9" s="15">
        <v>2713</v>
      </c>
      <c r="D9" s="15">
        <v>351765</v>
      </c>
      <c r="E9" s="15">
        <v>461637</v>
      </c>
      <c r="M9" s="87" t="s">
        <v>468</v>
      </c>
      <c r="N9" s="15">
        <v>1683</v>
      </c>
      <c r="O9" s="15">
        <v>2426</v>
      </c>
      <c r="P9" s="15">
        <v>461147</v>
      </c>
      <c r="Q9" s="15">
        <v>646910</v>
      </c>
    </row>
    <row r="10" spans="1:17" x14ac:dyDescent="0.3">
      <c r="A10" s="87" t="s">
        <v>469</v>
      </c>
      <c r="B10" s="15">
        <v>1805</v>
      </c>
      <c r="C10" s="15">
        <v>2640</v>
      </c>
      <c r="D10" s="15">
        <v>356101</v>
      </c>
      <c r="E10" s="15">
        <v>444819</v>
      </c>
      <c r="M10" s="87" t="s">
        <v>469</v>
      </c>
      <c r="N10" s="15">
        <v>2193</v>
      </c>
      <c r="O10" s="15">
        <v>3091</v>
      </c>
      <c r="P10" s="15">
        <v>574964</v>
      </c>
      <c r="Q10" s="15">
        <v>774817</v>
      </c>
    </row>
    <row r="11" spans="1:17" x14ac:dyDescent="0.3">
      <c r="A11" s="87" t="s">
        <v>470</v>
      </c>
      <c r="B11" s="15">
        <v>1960</v>
      </c>
      <c r="C11" s="15">
        <v>3340</v>
      </c>
      <c r="D11" s="15">
        <v>365827</v>
      </c>
      <c r="E11" s="15">
        <v>531729</v>
      </c>
      <c r="M11" s="87" t="s">
        <v>470</v>
      </c>
      <c r="N11" s="15">
        <v>1593</v>
      </c>
      <c r="O11" s="15">
        <v>2411</v>
      </c>
      <c r="P11" s="15">
        <v>408181</v>
      </c>
      <c r="Q11" s="15">
        <v>610249</v>
      </c>
    </row>
    <row r="29" spans="1:20" ht="32.4" customHeight="1" x14ac:dyDescent="0.3">
      <c r="A29" s="112" t="str">
        <f>CONCATENATE("Table 85a. High Poverty College Enrollment Rates in the First Fall after High School Graduation for Classes ",A33," and ",A34,", Student-Weighted Totals")</f>
        <v>Table 85a. High Poverty College Enrollment Rates in the First Fall after High School Graduation for Classes 2023 and 2023 Adjusted to 2022 Flags, Student-Weighted Totals</v>
      </c>
      <c r="B29" s="112"/>
      <c r="C29" s="112"/>
      <c r="D29" s="112"/>
      <c r="E29" s="112"/>
      <c r="F29" s="112"/>
      <c r="G29" s="112"/>
      <c r="H29" s="112"/>
      <c r="I29" s="112"/>
      <c r="L29" s="112" t="str">
        <f>CONCATENATE("Table 85b. Low Poverty College Enrollment Rates in the First Fall after High School Graduation for Classes ",L33," and ",L34,", Student-Weighted Totals")</f>
        <v>Table 85b. Low Poverty College Enrollment Rates in the First Fall after High School Graduation for Classes 2023 and 2023 Adjusted to 2022 Flags, Student-Weighted Totals</v>
      </c>
      <c r="M29" s="112"/>
      <c r="N29" s="112"/>
      <c r="O29" s="112"/>
      <c r="P29" s="112"/>
      <c r="Q29" s="112"/>
      <c r="R29" s="112"/>
      <c r="S29" s="112"/>
      <c r="T29" s="112"/>
    </row>
    <row r="30" spans="1:20" ht="5.4" customHeight="1" x14ac:dyDescent="0.3">
      <c r="A30" s="83"/>
      <c r="B30" s="83"/>
      <c r="C30" s="83"/>
      <c r="D30" s="83"/>
      <c r="E30" s="83"/>
      <c r="F30" s="83"/>
      <c r="G30" s="83"/>
      <c r="H30" s="83"/>
      <c r="I30" s="83"/>
      <c r="L30" s="83"/>
      <c r="M30" s="83"/>
      <c r="N30" s="83"/>
      <c r="O30" s="83"/>
      <c r="P30" s="83"/>
      <c r="Q30" s="83"/>
      <c r="R30" s="83"/>
      <c r="S30" s="83"/>
      <c r="T30" s="83"/>
    </row>
    <row r="31" spans="1:20" ht="4.2" customHeight="1" x14ac:dyDescent="0.3">
      <c r="A31" s="80"/>
      <c r="B31" s="80"/>
      <c r="C31" s="80"/>
      <c r="D31" s="80"/>
      <c r="E31" s="80"/>
      <c r="F31" s="80"/>
      <c r="G31" s="80"/>
      <c r="H31" s="80"/>
      <c r="I31" s="80"/>
      <c r="L31" s="80"/>
      <c r="M31" s="80"/>
      <c r="N31" s="80"/>
      <c r="O31" s="80"/>
      <c r="P31" s="80"/>
      <c r="Q31" s="80"/>
      <c r="R31" s="80"/>
      <c r="S31" s="80"/>
      <c r="T31" s="80"/>
    </row>
    <row r="32" spans="1:20" ht="26.4" customHeight="1" x14ac:dyDescent="0.3">
      <c r="A32" s="59"/>
      <c r="B32" s="60" t="s">
        <v>438</v>
      </c>
      <c r="C32" s="61" t="s">
        <v>439</v>
      </c>
      <c r="D32" s="61" t="s">
        <v>105</v>
      </c>
      <c r="E32" s="61" t="s">
        <v>106</v>
      </c>
      <c r="F32" s="61" t="s">
        <v>440</v>
      </c>
      <c r="G32" s="61" t="s">
        <v>441</v>
      </c>
      <c r="H32" s="61" t="s">
        <v>442</v>
      </c>
      <c r="I32" s="61" t="s">
        <v>443</v>
      </c>
      <c r="L32" s="59"/>
      <c r="M32" s="60" t="s">
        <v>438</v>
      </c>
      <c r="N32" s="61" t="s">
        <v>439</v>
      </c>
      <c r="O32" s="61" t="s">
        <v>105</v>
      </c>
      <c r="P32" s="61" t="s">
        <v>106</v>
      </c>
      <c r="Q32" s="61" t="s">
        <v>440</v>
      </c>
      <c r="R32" s="61" t="s">
        <v>441</v>
      </c>
      <c r="S32" s="61" t="s">
        <v>442</v>
      </c>
      <c r="T32" s="61" t="s">
        <v>443</v>
      </c>
    </row>
    <row r="33" spans="1:22" x14ac:dyDescent="0.3">
      <c r="A33" s="62">
        <v>2023</v>
      </c>
      <c r="B33" s="15">
        <v>348277</v>
      </c>
      <c r="C33" s="11">
        <v>0.50463567792303254</v>
      </c>
      <c r="D33" s="11">
        <v>0.44522032749793988</v>
      </c>
      <c r="E33" s="11">
        <v>5.9415350425092668E-2</v>
      </c>
      <c r="F33" s="11">
        <v>0.22448797939571088</v>
      </c>
      <c r="G33" s="11">
        <v>0.28014769852732163</v>
      </c>
      <c r="H33" s="11">
        <v>0.46105829555210365</v>
      </c>
      <c r="I33" s="11">
        <v>4.357738237092889E-2</v>
      </c>
      <c r="J33" s="28"/>
      <c r="L33" s="62">
        <v>2023</v>
      </c>
      <c r="M33" s="15">
        <v>387086</v>
      </c>
      <c r="N33" s="11">
        <v>0.732679559581075</v>
      </c>
      <c r="O33" s="11">
        <v>0.57372263528001533</v>
      </c>
      <c r="P33" s="11">
        <v>0.1589569243010597</v>
      </c>
      <c r="Q33" s="11">
        <v>0.14291397777238132</v>
      </c>
      <c r="R33" s="11">
        <v>0.58976558180869365</v>
      </c>
      <c r="S33" s="11">
        <v>0.51322186800865954</v>
      </c>
      <c r="T33" s="11">
        <v>0.21945769157241543</v>
      </c>
      <c r="V33" s="28"/>
    </row>
    <row r="34" spans="1:22" ht="28.8" x14ac:dyDescent="0.3">
      <c r="A34" s="62" t="s">
        <v>471</v>
      </c>
      <c r="B34" s="15">
        <v>304563</v>
      </c>
      <c r="C34" s="11">
        <v>0.50582966414173747</v>
      </c>
      <c r="D34" s="11">
        <v>0.44915830222318537</v>
      </c>
      <c r="E34" s="11">
        <v>5.6671361918552154E-2</v>
      </c>
      <c r="F34" s="11">
        <v>0.22771643305325992</v>
      </c>
      <c r="G34" s="11">
        <v>0.27811323108847757</v>
      </c>
      <c r="H34" s="11">
        <v>0.46617284437045864</v>
      </c>
      <c r="I34" s="11">
        <v>3.9656819771278849E-2</v>
      </c>
      <c r="J34" s="28"/>
      <c r="L34" s="62" t="s">
        <v>471</v>
      </c>
      <c r="M34" s="15">
        <v>509701</v>
      </c>
      <c r="N34" s="11">
        <v>0.71114437680130116</v>
      </c>
      <c r="O34" s="11">
        <v>0.56163319279342205</v>
      </c>
      <c r="P34" s="11">
        <v>0.14951118400787913</v>
      </c>
      <c r="Q34" s="11">
        <v>0.16406285253511371</v>
      </c>
      <c r="R34" s="11">
        <v>0.54708152426618739</v>
      </c>
      <c r="S34" s="11">
        <v>0.50069158192744379</v>
      </c>
      <c r="T34" s="11">
        <v>0.21045279487385743</v>
      </c>
      <c r="V34" s="28"/>
    </row>
    <row r="36" spans="1:22" x14ac:dyDescent="0.3">
      <c r="A36" s="62">
        <v>2023</v>
      </c>
    </row>
    <row r="37" spans="1:22" ht="28.8" x14ac:dyDescent="0.3">
      <c r="A37" s="62" t="s">
        <v>471</v>
      </c>
    </row>
    <row r="39" spans="1:22" x14ac:dyDescent="0.3">
      <c r="A39" s="62">
        <v>2023</v>
      </c>
    </row>
    <row r="40" spans="1:22" ht="28.8" x14ac:dyDescent="0.3">
      <c r="A40" s="62" t="s">
        <v>471</v>
      </c>
    </row>
    <row r="57" spans="1:22" ht="32.4" customHeight="1" x14ac:dyDescent="0.3">
      <c r="A57" s="112" t="str">
        <f>CONCATENATE("Table 86a. High Poverty Persistence Rates from First to Second Year of College for Class of for Classes ",A61," and ",A62,", Student-Weighted Totals")</f>
        <v>Table 86a. High Poverty Persistence Rates from First to Second Year of College for Class of for Classes 2021 and 2021 Adjusted to 2020 Flags, Student-Weighted Totals</v>
      </c>
      <c r="B57" s="112"/>
      <c r="C57" s="112"/>
      <c r="D57" s="112"/>
      <c r="E57" s="112"/>
      <c r="F57" s="112"/>
      <c r="G57" s="112"/>
      <c r="H57" s="112"/>
      <c r="I57" s="112"/>
      <c r="L57" s="112" t="str">
        <f>CONCATENATE("Table 86b. Low Poverty Persistence Rates from First to Second Year of College for Class of for Classes ",L61," and ",L62,", Student-Weighted Totals")</f>
        <v>Table 86b. Low Poverty Persistence Rates from First to Second Year of College for Class of for Classes 2021 and 2021 Adjusted to 2020 Flags, Student-Weighted Totals</v>
      </c>
      <c r="M57" s="112"/>
      <c r="N57" s="112"/>
      <c r="O57" s="112"/>
      <c r="P57" s="112"/>
      <c r="Q57" s="112"/>
      <c r="R57" s="112"/>
      <c r="S57" s="112"/>
      <c r="T57" s="112"/>
    </row>
    <row r="58" spans="1:22" ht="5.4" customHeight="1" x14ac:dyDescent="0.3">
      <c r="A58" s="83"/>
      <c r="B58" s="83"/>
      <c r="C58" s="83"/>
      <c r="D58" s="83"/>
      <c r="E58" s="83"/>
      <c r="F58" s="83"/>
      <c r="G58" s="83"/>
      <c r="H58" s="83"/>
      <c r="I58" s="83"/>
      <c r="L58" s="83"/>
      <c r="M58" s="83"/>
      <c r="N58" s="83"/>
      <c r="O58" s="83"/>
      <c r="P58" s="83"/>
      <c r="Q58" s="83"/>
      <c r="R58" s="83"/>
      <c r="S58" s="83"/>
      <c r="T58" s="83"/>
    </row>
    <row r="59" spans="1:22" ht="4.2" customHeight="1" x14ac:dyDescent="0.3">
      <c r="A59" s="80"/>
      <c r="B59" s="80"/>
      <c r="C59" s="80"/>
      <c r="D59" s="80"/>
      <c r="E59" s="80"/>
      <c r="F59" s="80"/>
      <c r="G59" s="80"/>
      <c r="H59" s="80"/>
      <c r="I59" s="80"/>
      <c r="L59" s="80"/>
      <c r="M59" s="80"/>
      <c r="N59" s="80"/>
      <c r="O59" s="80"/>
      <c r="P59" s="80"/>
      <c r="Q59" s="80"/>
      <c r="R59" s="80"/>
      <c r="S59" s="80"/>
      <c r="T59" s="80"/>
    </row>
    <row r="60" spans="1:22" ht="52.95" customHeight="1" x14ac:dyDescent="0.3">
      <c r="A60" s="59"/>
      <c r="B60" s="88" t="s">
        <v>444</v>
      </c>
      <c r="C60" s="61" t="s">
        <v>439</v>
      </c>
      <c r="D60" s="61" t="s">
        <v>105</v>
      </c>
      <c r="E60" s="61" t="s">
        <v>106</v>
      </c>
      <c r="F60" s="61" t="s">
        <v>440</v>
      </c>
      <c r="G60" s="61" t="s">
        <v>441</v>
      </c>
      <c r="H60" s="61" t="s">
        <v>442</v>
      </c>
      <c r="I60" s="61" t="s">
        <v>443</v>
      </c>
      <c r="L60" s="59"/>
      <c r="M60" s="88" t="s">
        <v>444</v>
      </c>
      <c r="N60" s="61" t="s">
        <v>439</v>
      </c>
      <c r="O60" s="61" t="s">
        <v>105</v>
      </c>
      <c r="P60" s="61" t="s">
        <v>106</v>
      </c>
      <c r="Q60" s="61" t="s">
        <v>440</v>
      </c>
      <c r="R60" s="61" t="s">
        <v>441</v>
      </c>
      <c r="S60" s="61" t="s">
        <v>442</v>
      </c>
      <c r="T60" s="61" t="s">
        <v>443</v>
      </c>
    </row>
    <row r="61" spans="1:22" x14ac:dyDescent="0.3">
      <c r="A61" s="62">
        <v>2021</v>
      </c>
      <c r="B61" s="15">
        <v>169202</v>
      </c>
      <c r="C61" s="11">
        <v>0.76019195990591126</v>
      </c>
      <c r="D61" s="11">
        <v>0.75620757059460597</v>
      </c>
      <c r="E61" s="11">
        <v>0.79413750421964668</v>
      </c>
      <c r="F61" s="11">
        <v>0.68622935881490965</v>
      </c>
      <c r="G61" s="11">
        <v>0.82868575715893456</v>
      </c>
      <c r="H61" s="11">
        <v>0.75795653049164569</v>
      </c>
      <c r="I61" s="11">
        <v>0.78282595831415613</v>
      </c>
      <c r="L61" s="62">
        <v>2021</v>
      </c>
      <c r="M61" s="15">
        <v>333244</v>
      </c>
      <c r="N61" s="11">
        <v>0.90673800578555053</v>
      </c>
      <c r="O61" s="11">
        <v>0.89640831903483187</v>
      </c>
      <c r="P61" s="11">
        <v>0.94336379757195477</v>
      </c>
      <c r="Q61" s="11">
        <v>0.78394068861522992</v>
      </c>
      <c r="R61" s="11">
        <v>0.94526596310853372</v>
      </c>
      <c r="S61" s="11">
        <v>0.89172063848232952</v>
      </c>
      <c r="T61" s="11">
        <v>0.94281980068616245</v>
      </c>
      <c r="V61" s="28"/>
    </row>
    <row r="62" spans="1:22" ht="28.8" x14ac:dyDescent="0.3">
      <c r="A62" s="62" t="s">
        <v>472</v>
      </c>
      <c r="B62" s="15">
        <v>160169</v>
      </c>
      <c r="C62" s="11">
        <v>0.7531528606747746</v>
      </c>
      <c r="D62" s="11">
        <v>0.74938432360517448</v>
      </c>
      <c r="E62" s="11">
        <v>0.78138252756573368</v>
      </c>
      <c r="F62" s="11">
        <v>0.67735668246321068</v>
      </c>
      <c r="G62" s="11">
        <v>0.82210736912304105</v>
      </c>
      <c r="H62" s="11">
        <v>0.75097713839022451</v>
      </c>
      <c r="I62" s="11">
        <v>0.77528246617380392</v>
      </c>
      <c r="L62" s="62" t="s">
        <v>472</v>
      </c>
      <c r="M62" s="15">
        <v>418755</v>
      </c>
      <c r="N62" s="11">
        <v>0.90695991689651467</v>
      </c>
      <c r="O62" s="11">
        <v>0.89680428535694023</v>
      </c>
      <c r="P62" s="11">
        <v>0.94356780769949744</v>
      </c>
      <c r="Q62" s="11">
        <v>0.7821247306557193</v>
      </c>
      <c r="R62" s="11">
        <v>0.94506453553428438</v>
      </c>
      <c r="S62" s="11">
        <v>0.89090884299013806</v>
      </c>
      <c r="T62" s="11">
        <v>0.94450735223756821</v>
      </c>
      <c r="V62" s="28"/>
    </row>
    <row r="64" spans="1:22" x14ac:dyDescent="0.3">
      <c r="A64" s="62"/>
    </row>
    <row r="65" spans="1:1" x14ac:dyDescent="0.3">
      <c r="A65" s="62"/>
    </row>
    <row r="67" spans="1:1" x14ac:dyDescent="0.3">
      <c r="A67" s="62"/>
    </row>
    <row r="68" spans="1:1" x14ac:dyDescent="0.3">
      <c r="A68" s="62"/>
    </row>
  </sheetData>
  <mergeCells count="6">
    <mergeCell ref="A3:E3"/>
    <mergeCell ref="M3:Q3"/>
    <mergeCell ref="A29:I29"/>
    <mergeCell ref="L29:T29"/>
    <mergeCell ref="A57:I57"/>
    <mergeCell ref="L57:T5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38E3D-67DB-4A99-9FB9-BC29A91859BC}">
  <dimension ref="A1:M252"/>
  <sheetViews>
    <sheetView workbookViewId="0">
      <selection activeCell="G6" sqref="G6"/>
    </sheetView>
  </sheetViews>
  <sheetFormatPr defaultRowHeight="14.4" x14ac:dyDescent="0.3"/>
  <cols>
    <col min="1" max="1" width="20.6640625" customWidth="1"/>
    <col min="2" max="3" width="15.6640625" customWidth="1"/>
    <col min="4" max="4" width="3.6640625" customWidth="1"/>
    <col min="5" max="6" width="15.6640625" customWidth="1"/>
    <col min="7" max="7" width="3.6640625" customWidth="1"/>
    <col min="8" max="9" width="15.6640625" customWidth="1"/>
    <col min="10" max="10" width="3.6640625" customWidth="1"/>
    <col min="11" max="13" width="15.6640625" customWidth="1"/>
  </cols>
  <sheetData>
    <row r="1" spans="1:13" ht="21" x14ac:dyDescent="0.4">
      <c r="A1" s="1" t="s">
        <v>91</v>
      </c>
    </row>
    <row r="2" spans="1:13" x14ac:dyDescent="0.3">
      <c r="A2" s="2"/>
    </row>
    <row r="3" spans="1:13" x14ac:dyDescent="0.3">
      <c r="A3" s="3" t="s">
        <v>92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3">
      <c r="A4" s="5"/>
      <c r="B4" s="6" t="s">
        <v>93</v>
      </c>
      <c r="C4" s="7" t="s">
        <v>94</v>
      </c>
      <c r="D4" s="8"/>
      <c r="E4" s="9" t="s">
        <v>95</v>
      </c>
      <c r="F4" s="7" t="s">
        <v>96</v>
      </c>
      <c r="G4" s="8"/>
      <c r="H4" s="9" t="s">
        <v>97</v>
      </c>
      <c r="I4" s="7" t="s">
        <v>98</v>
      </c>
      <c r="J4" s="8"/>
      <c r="K4" s="9" t="s">
        <v>99</v>
      </c>
      <c r="L4" s="6" t="s">
        <v>100</v>
      </c>
      <c r="M4" s="6" t="s">
        <v>101</v>
      </c>
    </row>
    <row r="5" spans="1:13" x14ac:dyDescent="0.3">
      <c r="A5" s="97" t="s">
        <v>102</v>
      </c>
      <c r="B5" s="11">
        <v>0.50463567792303254</v>
      </c>
      <c r="C5" s="12">
        <v>0.732679559581075</v>
      </c>
      <c r="D5" s="13"/>
      <c r="E5" s="14">
        <v>0.5229755381254253</v>
      </c>
      <c r="F5" s="12">
        <v>0.65144782612736607</v>
      </c>
      <c r="G5" s="13"/>
      <c r="H5" s="14">
        <v>0.54532009890927424</v>
      </c>
      <c r="I5" s="12">
        <v>0.64263892949632995</v>
      </c>
      <c r="J5" s="13"/>
      <c r="K5" s="14">
        <v>0.59298839304361373</v>
      </c>
      <c r="L5" s="11">
        <v>0.6391748293262095</v>
      </c>
      <c r="M5" s="11">
        <v>0.547932885768602</v>
      </c>
    </row>
    <row r="6" spans="1:13" x14ac:dyDescent="0.3">
      <c r="A6" s="98"/>
      <c r="B6" s="15">
        <v>175753</v>
      </c>
      <c r="C6" s="16">
        <v>283610</v>
      </c>
      <c r="D6" s="17"/>
      <c r="E6" s="18">
        <v>423458</v>
      </c>
      <c r="F6" s="16">
        <v>771010</v>
      </c>
      <c r="G6" s="17"/>
      <c r="H6" s="18">
        <v>484512</v>
      </c>
      <c r="I6" s="16">
        <v>709956</v>
      </c>
      <c r="J6" s="17"/>
      <c r="K6" s="18">
        <v>335042</v>
      </c>
      <c r="L6" s="15">
        <v>538345</v>
      </c>
      <c r="M6" s="15">
        <v>321081</v>
      </c>
    </row>
    <row r="7" spans="1:13" x14ac:dyDescent="0.3">
      <c r="A7" s="97" t="s">
        <v>103</v>
      </c>
      <c r="B7" s="11">
        <v>0.28014769852732163</v>
      </c>
      <c r="C7" s="12">
        <v>0.58976558180869365</v>
      </c>
      <c r="D7" s="13"/>
      <c r="E7" s="14">
        <v>0.30024860783318452</v>
      </c>
      <c r="F7" s="12">
        <v>0.48559017788266151</v>
      </c>
      <c r="G7" s="13"/>
      <c r="H7" s="14">
        <v>0.331422603042687</v>
      </c>
      <c r="I7" s="12">
        <v>0.47373571058093633</v>
      </c>
      <c r="J7" s="13"/>
      <c r="K7" s="14">
        <v>0.39475509994584129</v>
      </c>
      <c r="L7" s="11">
        <v>0.45712793113683586</v>
      </c>
      <c r="M7" s="11">
        <v>0.35797954217336253</v>
      </c>
    </row>
    <row r="8" spans="1:13" x14ac:dyDescent="0.3">
      <c r="A8" s="98"/>
      <c r="B8" s="15">
        <v>97569</v>
      </c>
      <c r="C8" s="16">
        <v>228290</v>
      </c>
      <c r="D8" s="17"/>
      <c r="E8" s="18">
        <v>243114</v>
      </c>
      <c r="F8" s="16">
        <v>574712</v>
      </c>
      <c r="G8" s="17"/>
      <c r="H8" s="18">
        <v>294466</v>
      </c>
      <c r="I8" s="16">
        <v>523360</v>
      </c>
      <c r="J8" s="17"/>
      <c r="K8" s="18">
        <v>223039</v>
      </c>
      <c r="L8" s="15">
        <v>385016</v>
      </c>
      <c r="M8" s="15">
        <v>209771</v>
      </c>
    </row>
    <row r="9" spans="1:13" x14ac:dyDescent="0.3">
      <c r="A9" s="97" t="s">
        <v>104</v>
      </c>
      <c r="B9" s="11">
        <v>0.22448797939571088</v>
      </c>
      <c r="C9" s="12">
        <v>0.14291397777238132</v>
      </c>
      <c r="D9" s="13"/>
      <c r="E9" s="14">
        <v>0.2227269302922408</v>
      </c>
      <c r="F9" s="12">
        <v>0.16585764824470461</v>
      </c>
      <c r="G9" s="13"/>
      <c r="H9" s="14">
        <v>0.21389749586658729</v>
      </c>
      <c r="I9" s="12">
        <v>0.16890321891539362</v>
      </c>
      <c r="J9" s="13"/>
      <c r="K9" s="14">
        <v>0.19823329309777241</v>
      </c>
      <c r="L9" s="11">
        <v>0.1820468981893737</v>
      </c>
      <c r="M9" s="11">
        <v>0.18995334359523947</v>
      </c>
    </row>
    <row r="10" spans="1:13" x14ac:dyDescent="0.3">
      <c r="A10" s="98"/>
      <c r="B10" s="15">
        <v>78184</v>
      </c>
      <c r="C10" s="16">
        <v>55320</v>
      </c>
      <c r="D10" s="17"/>
      <c r="E10" s="18">
        <v>180344</v>
      </c>
      <c r="F10" s="16">
        <v>196298</v>
      </c>
      <c r="G10" s="17"/>
      <c r="H10" s="18">
        <v>190046</v>
      </c>
      <c r="I10" s="16">
        <v>186596</v>
      </c>
      <c r="J10" s="17"/>
      <c r="K10" s="18">
        <v>112003</v>
      </c>
      <c r="L10" s="15">
        <v>153329</v>
      </c>
      <c r="M10" s="15">
        <v>111310</v>
      </c>
    </row>
    <row r="11" spans="1:13" x14ac:dyDescent="0.3">
      <c r="A11" s="97" t="s">
        <v>105</v>
      </c>
      <c r="B11" s="11">
        <v>0.44522032749793988</v>
      </c>
      <c r="C11" s="12">
        <v>0.57372263528001533</v>
      </c>
      <c r="D11" s="13"/>
      <c r="E11" s="14">
        <v>0.45608978040258907</v>
      </c>
      <c r="F11" s="12">
        <v>0.51721160288728751</v>
      </c>
      <c r="G11" s="13"/>
      <c r="H11" s="14">
        <v>0.47179318642507351</v>
      </c>
      <c r="I11" s="12">
        <v>0.50894092877037445</v>
      </c>
      <c r="J11" s="13"/>
      <c r="K11" s="14">
        <v>0.50206192500610614</v>
      </c>
      <c r="L11" s="11">
        <v>0.50909231225883056</v>
      </c>
      <c r="M11" s="11">
        <v>0.45903144443723909</v>
      </c>
    </row>
    <row r="12" spans="1:13" x14ac:dyDescent="0.3">
      <c r="A12" s="98"/>
      <c r="B12" s="15">
        <v>155060</v>
      </c>
      <c r="C12" s="16">
        <v>222080</v>
      </c>
      <c r="D12" s="17"/>
      <c r="E12" s="18">
        <v>369300</v>
      </c>
      <c r="F12" s="16">
        <v>612137</v>
      </c>
      <c r="G12" s="17"/>
      <c r="H12" s="18">
        <v>419184</v>
      </c>
      <c r="I12" s="16">
        <v>562253</v>
      </c>
      <c r="J12" s="17"/>
      <c r="K12" s="18">
        <v>283668</v>
      </c>
      <c r="L12" s="15">
        <v>428783</v>
      </c>
      <c r="M12" s="15">
        <v>268986</v>
      </c>
    </row>
    <row r="13" spans="1:13" x14ac:dyDescent="0.3">
      <c r="A13" s="97" t="s">
        <v>106</v>
      </c>
      <c r="B13" s="11">
        <v>5.9415350425092668E-2</v>
      </c>
      <c r="C13" s="12">
        <v>0.1589569243010597</v>
      </c>
      <c r="D13" s="13"/>
      <c r="E13" s="14">
        <v>6.6885757722836225E-2</v>
      </c>
      <c r="F13" s="12">
        <v>0.13423622324007864</v>
      </c>
      <c r="G13" s="13"/>
      <c r="H13" s="14">
        <v>7.3526912484200735E-2</v>
      </c>
      <c r="I13" s="12">
        <v>0.13369800072595545</v>
      </c>
      <c r="J13" s="13"/>
      <c r="K13" s="14">
        <v>9.0926468037507563E-2</v>
      </c>
      <c r="L13" s="11">
        <v>0.13008251706737906</v>
      </c>
      <c r="M13" s="11">
        <v>8.8901441331362865E-2</v>
      </c>
    </row>
    <row r="14" spans="1:13" x14ac:dyDescent="0.3">
      <c r="A14" s="98"/>
      <c r="B14" s="15">
        <v>20693</v>
      </c>
      <c r="C14" s="16">
        <v>61530</v>
      </c>
      <c r="D14" s="17"/>
      <c r="E14" s="18">
        <v>54158</v>
      </c>
      <c r="F14" s="16">
        <v>158873</v>
      </c>
      <c r="G14" s="17"/>
      <c r="H14" s="18">
        <v>65328</v>
      </c>
      <c r="I14" s="16">
        <v>147703</v>
      </c>
      <c r="J14" s="17"/>
      <c r="K14" s="18">
        <v>51374</v>
      </c>
      <c r="L14" s="15">
        <v>109562</v>
      </c>
      <c r="M14" s="15">
        <v>52095</v>
      </c>
    </row>
    <row r="15" spans="1:13" x14ac:dyDescent="0.3">
      <c r="A15" s="97" t="s">
        <v>107</v>
      </c>
      <c r="B15" s="11">
        <v>0.46105829555210365</v>
      </c>
      <c r="C15" s="12">
        <v>0.51322186800865954</v>
      </c>
      <c r="D15" s="13"/>
      <c r="E15" s="14">
        <v>0.46919942843663587</v>
      </c>
      <c r="F15" s="12">
        <v>0.49095631469506978</v>
      </c>
      <c r="G15" s="13"/>
      <c r="H15" s="14">
        <v>0.47816128694606924</v>
      </c>
      <c r="I15" s="12">
        <v>0.48530030749010411</v>
      </c>
      <c r="J15" s="13"/>
      <c r="K15" s="14">
        <v>0.49140717089730018</v>
      </c>
      <c r="L15" s="11">
        <v>0.4945871178391214</v>
      </c>
      <c r="M15" s="11">
        <v>0.4552395449720642</v>
      </c>
    </row>
    <row r="16" spans="1:13" x14ac:dyDescent="0.3">
      <c r="A16" s="98"/>
      <c r="B16" s="15">
        <v>160576</v>
      </c>
      <c r="C16" s="16">
        <v>198661</v>
      </c>
      <c r="D16" s="17"/>
      <c r="E16" s="18">
        <v>379915</v>
      </c>
      <c r="F16" s="16">
        <v>581063</v>
      </c>
      <c r="G16" s="17"/>
      <c r="H16" s="18">
        <v>424842</v>
      </c>
      <c r="I16" s="16">
        <v>536136</v>
      </c>
      <c r="J16" s="17"/>
      <c r="K16" s="18">
        <v>277648</v>
      </c>
      <c r="L16" s="15">
        <v>416566</v>
      </c>
      <c r="M16" s="15">
        <v>266764</v>
      </c>
    </row>
    <row r="17" spans="1:13" x14ac:dyDescent="0.3">
      <c r="A17" s="97" t="s">
        <v>108</v>
      </c>
      <c r="B17" s="11">
        <v>4.357738237092889E-2</v>
      </c>
      <c r="C17" s="12">
        <v>0.21945769157241543</v>
      </c>
      <c r="D17" s="13"/>
      <c r="E17" s="14">
        <v>5.3776109688789431E-2</v>
      </c>
      <c r="F17" s="12">
        <v>0.16049151143229634</v>
      </c>
      <c r="G17" s="13"/>
      <c r="H17" s="14">
        <v>6.7158811963205028E-2</v>
      </c>
      <c r="I17" s="12">
        <v>0.15733862200622584</v>
      </c>
      <c r="J17" s="13"/>
      <c r="K17" s="14">
        <v>0.10158122214631349</v>
      </c>
      <c r="L17" s="11">
        <v>0.14458771148708816</v>
      </c>
      <c r="M17" s="11">
        <v>9.2693340796537807E-2</v>
      </c>
    </row>
    <row r="18" spans="1:13" x14ac:dyDescent="0.3">
      <c r="A18" s="98"/>
      <c r="B18" s="15">
        <v>15177</v>
      </c>
      <c r="C18" s="16">
        <v>84949</v>
      </c>
      <c r="D18" s="19"/>
      <c r="E18" s="18">
        <v>43543</v>
      </c>
      <c r="F18" s="16">
        <v>189947</v>
      </c>
      <c r="G18" s="19"/>
      <c r="H18" s="18">
        <v>59670</v>
      </c>
      <c r="I18" s="16">
        <v>173820</v>
      </c>
      <c r="J18" s="19"/>
      <c r="K18" s="18">
        <v>57394</v>
      </c>
      <c r="L18" s="15">
        <v>121779</v>
      </c>
      <c r="M18" s="15">
        <v>54317</v>
      </c>
    </row>
    <row r="20" spans="1:13" x14ac:dyDescent="0.3">
      <c r="A20" s="3" t="s">
        <v>109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3">
      <c r="A21" s="5"/>
      <c r="B21" s="6" t="s">
        <v>93</v>
      </c>
      <c r="C21" s="7" t="s">
        <v>94</v>
      </c>
      <c r="D21" s="8"/>
      <c r="E21" s="9" t="s">
        <v>95</v>
      </c>
      <c r="F21" s="7" t="s">
        <v>96</v>
      </c>
      <c r="G21" s="8"/>
      <c r="H21" s="9" t="s">
        <v>97</v>
      </c>
      <c r="I21" s="7" t="s">
        <v>98</v>
      </c>
      <c r="J21" s="8"/>
      <c r="K21" s="9" t="s">
        <v>99</v>
      </c>
      <c r="L21" s="6" t="s">
        <v>100</v>
      </c>
      <c r="M21" s="6" t="s">
        <v>101</v>
      </c>
    </row>
    <row r="22" spans="1:13" x14ac:dyDescent="0.3">
      <c r="A22" s="97" t="s">
        <v>102</v>
      </c>
      <c r="B22" s="11">
        <v>0.49892101474662248</v>
      </c>
      <c r="C22" s="12">
        <v>0.71259266582811986</v>
      </c>
      <c r="D22" s="13"/>
      <c r="E22" s="14">
        <v>0.51986655732613352</v>
      </c>
      <c r="F22" s="12">
        <v>0.63139884614332975</v>
      </c>
      <c r="G22" s="13"/>
      <c r="H22" s="14">
        <v>0.53955118461487628</v>
      </c>
      <c r="I22" s="12">
        <v>0.6371542615102368</v>
      </c>
      <c r="J22" s="13"/>
      <c r="K22" s="14">
        <v>0.58725923667225699</v>
      </c>
      <c r="L22" s="11">
        <v>0.63603566112329335</v>
      </c>
      <c r="M22" s="11">
        <v>0.53868539937384863</v>
      </c>
    </row>
    <row r="23" spans="1:13" x14ac:dyDescent="0.3">
      <c r="A23" s="98"/>
      <c r="B23" s="15">
        <v>169469</v>
      </c>
      <c r="C23" s="16">
        <v>389206</v>
      </c>
      <c r="D23" s="17"/>
      <c r="E23" s="18">
        <v>381633</v>
      </c>
      <c r="F23" s="16">
        <v>923686</v>
      </c>
      <c r="G23" s="17"/>
      <c r="H23" s="18">
        <v>522510</v>
      </c>
      <c r="I23" s="16">
        <v>782809</v>
      </c>
      <c r="J23" s="17"/>
      <c r="K23" s="18">
        <v>369776</v>
      </c>
      <c r="L23" s="15">
        <v>596064</v>
      </c>
      <c r="M23" s="15">
        <v>339479</v>
      </c>
    </row>
    <row r="24" spans="1:13" x14ac:dyDescent="0.3">
      <c r="A24" s="97" t="s">
        <v>103</v>
      </c>
      <c r="B24" s="11">
        <v>0.25969835517309398</v>
      </c>
      <c r="C24" s="12">
        <v>0.54178178376112041</v>
      </c>
      <c r="D24" s="13"/>
      <c r="E24" s="14">
        <v>0.27806777841650571</v>
      </c>
      <c r="F24" s="12">
        <v>0.45669414595466601</v>
      </c>
      <c r="G24" s="13"/>
      <c r="H24" s="14">
        <v>0.31453941281432773</v>
      </c>
      <c r="I24" s="12">
        <v>0.46201373593726852</v>
      </c>
      <c r="J24" s="13"/>
      <c r="K24" s="14">
        <v>0.38153046704274024</v>
      </c>
      <c r="L24" s="11">
        <v>0.44471192065346715</v>
      </c>
      <c r="M24" s="11">
        <v>0.34153656226049234</v>
      </c>
    </row>
    <row r="25" spans="1:13" x14ac:dyDescent="0.3">
      <c r="A25" s="98"/>
      <c r="B25" s="15">
        <v>88212</v>
      </c>
      <c r="C25" s="16">
        <v>295912</v>
      </c>
      <c r="D25" s="17"/>
      <c r="E25" s="18">
        <v>204129</v>
      </c>
      <c r="F25" s="16">
        <v>668107</v>
      </c>
      <c r="G25" s="17"/>
      <c r="H25" s="18">
        <v>304605</v>
      </c>
      <c r="I25" s="16">
        <v>567631</v>
      </c>
      <c r="J25" s="17"/>
      <c r="K25" s="18">
        <v>240236</v>
      </c>
      <c r="L25" s="15">
        <v>416764</v>
      </c>
      <c r="M25" s="15">
        <v>215236</v>
      </c>
    </row>
    <row r="26" spans="1:13" x14ac:dyDescent="0.3">
      <c r="A26" s="97" t="s">
        <v>104</v>
      </c>
      <c r="B26" s="11">
        <v>0.23922265957352851</v>
      </c>
      <c r="C26" s="12">
        <v>0.17081088206699951</v>
      </c>
      <c r="D26" s="13"/>
      <c r="E26" s="14">
        <v>0.24179877890962787</v>
      </c>
      <c r="F26" s="12">
        <v>0.17470470018866377</v>
      </c>
      <c r="G26" s="13"/>
      <c r="H26" s="14">
        <v>0.22501177180054852</v>
      </c>
      <c r="I26" s="12">
        <v>0.1751405255729683</v>
      </c>
      <c r="J26" s="13"/>
      <c r="K26" s="14">
        <v>0.20572876962951669</v>
      </c>
      <c r="L26" s="11">
        <v>0.19132374046982623</v>
      </c>
      <c r="M26" s="11">
        <v>0.19714883711335626</v>
      </c>
    </row>
    <row r="27" spans="1:13" x14ac:dyDescent="0.3">
      <c r="A27" s="98"/>
      <c r="B27" s="15">
        <v>81257</v>
      </c>
      <c r="C27" s="16">
        <v>93294</v>
      </c>
      <c r="D27" s="17"/>
      <c r="E27" s="18">
        <v>177504</v>
      </c>
      <c r="F27" s="16">
        <v>255579</v>
      </c>
      <c r="G27" s="17"/>
      <c r="H27" s="18">
        <v>217905</v>
      </c>
      <c r="I27" s="16">
        <v>215178</v>
      </c>
      <c r="J27" s="17"/>
      <c r="K27" s="18">
        <v>129540</v>
      </c>
      <c r="L27" s="15">
        <v>179300</v>
      </c>
      <c r="M27" s="15">
        <v>124243</v>
      </c>
    </row>
    <row r="28" spans="1:13" x14ac:dyDescent="0.3">
      <c r="A28" s="97" t="s">
        <v>105</v>
      </c>
      <c r="B28" s="11">
        <v>0.44823373205248607</v>
      </c>
      <c r="C28" s="12">
        <v>0.56241040090958527</v>
      </c>
      <c r="D28" s="13"/>
      <c r="E28" s="14">
        <v>0.46197101749357716</v>
      </c>
      <c r="F28" s="12">
        <v>0.50511442867689282</v>
      </c>
      <c r="G28" s="13"/>
      <c r="H28" s="14">
        <v>0.47141311172058287</v>
      </c>
      <c r="I28" s="12">
        <v>0.50590020201822883</v>
      </c>
      <c r="J28" s="13"/>
      <c r="K28" s="14">
        <v>0.499531496163033</v>
      </c>
      <c r="L28" s="11">
        <v>0.50997647134145363</v>
      </c>
      <c r="M28" s="11">
        <v>0.45320605078713233</v>
      </c>
    </row>
    <row r="29" spans="1:13" x14ac:dyDescent="0.3">
      <c r="A29" s="98"/>
      <c r="B29" s="15">
        <v>152252</v>
      </c>
      <c r="C29" s="16">
        <v>307179</v>
      </c>
      <c r="D29" s="17"/>
      <c r="E29" s="18">
        <v>339132</v>
      </c>
      <c r="F29" s="16">
        <v>738942</v>
      </c>
      <c r="G29" s="17"/>
      <c r="H29" s="18">
        <v>456524</v>
      </c>
      <c r="I29" s="16">
        <v>621550</v>
      </c>
      <c r="J29" s="17"/>
      <c r="K29" s="18">
        <v>314537</v>
      </c>
      <c r="L29" s="15">
        <v>477927</v>
      </c>
      <c r="M29" s="15">
        <v>285610</v>
      </c>
    </row>
    <row r="30" spans="1:13" x14ac:dyDescent="0.3">
      <c r="A30" s="97" t="s">
        <v>106</v>
      </c>
      <c r="B30" s="11">
        <v>5.0687282694136387E-2</v>
      </c>
      <c r="C30" s="12">
        <v>0.15018226491853462</v>
      </c>
      <c r="D30" s="13"/>
      <c r="E30" s="14">
        <v>5.7895539832556416E-2</v>
      </c>
      <c r="F30" s="12">
        <v>0.12628441746643698</v>
      </c>
      <c r="G30" s="13"/>
      <c r="H30" s="14">
        <v>6.8138072894293356E-2</v>
      </c>
      <c r="I30" s="12">
        <v>0.131254059492008</v>
      </c>
      <c r="J30" s="13"/>
      <c r="K30" s="14">
        <v>8.7727740509223967E-2</v>
      </c>
      <c r="L30" s="11">
        <v>0.12605918978183972</v>
      </c>
      <c r="M30" s="11">
        <v>8.5479348586716256E-2</v>
      </c>
    </row>
    <row r="31" spans="1:13" x14ac:dyDescent="0.3">
      <c r="A31" s="98"/>
      <c r="B31" s="15">
        <v>17217</v>
      </c>
      <c r="C31" s="16">
        <v>82027</v>
      </c>
      <c r="D31" s="17"/>
      <c r="E31" s="18">
        <v>42501</v>
      </c>
      <c r="F31" s="16">
        <v>184744</v>
      </c>
      <c r="G31" s="17"/>
      <c r="H31" s="18">
        <v>65986</v>
      </c>
      <c r="I31" s="16">
        <v>161259</v>
      </c>
      <c r="J31" s="17"/>
      <c r="K31" s="18">
        <v>55239</v>
      </c>
      <c r="L31" s="15">
        <v>118137</v>
      </c>
      <c r="M31" s="15">
        <v>53869</v>
      </c>
    </row>
    <row r="32" spans="1:13" x14ac:dyDescent="0.3">
      <c r="A32" s="97" t="s">
        <v>107</v>
      </c>
      <c r="B32" s="11">
        <v>0.45985085568093831</v>
      </c>
      <c r="C32" s="12">
        <v>0.49808580640554539</v>
      </c>
      <c r="D32" s="13"/>
      <c r="E32" s="14">
        <v>0.47071508163760151</v>
      </c>
      <c r="F32" s="12">
        <v>0.47947939736964429</v>
      </c>
      <c r="G32" s="13"/>
      <c r="H32" s="14">
        <v>0.47372203681062686</v>
      </c>
      <c r="I32" s="12">
        <v>0.47878076057177182</v>
      </c>
      <c r="J32" s="13"/>
      <c r="K32" s="14">
        <v>0.4832783833917772</v>
      </c>
      <c r="L32" s="11">
        <v>0.49261008050962757</v>
      </c>
      <c r="M32" s="11">
        <v>0.44594802594101229</v>
      </c>
    </row>
    <row r="33" spans="1:13" x14ac:dyDescent="0.3">
      <c r="A33" s="98"/>
      <c r="B33" s="15">
        <v>156198</v>
      </c>
      <c r="C33" s="16">
        <v>272046</v>
      </c>
      <c r="D33" s="17"/>
      <c r="E33" s="18">
        <v>345551</v>
      </c>
      <c r="F33" s="16">
        <v>701440</v>
      </c>
      <c r="G33" s="17"/>
      <c r="H33" s="18">
        <v>458760</v>
      </c>
      <c r="I33" s="16">
        <v>588231</v>
      </c>
      <c r="J33" s="17"/>
      <c r="K33" s="18">
        <v>304303</v>
      </c>
      <c r="L33" s="15">
        <v>461652</v>
      </c>
      <c r="M33" s="15">
        <v>281036</v>
      </c>
    </row>
    <row r="34" spans="1:13" x14ac:dyDescent="0.3">
      <c r="A34" s="97" t="s">
        <v>108</v>
      </c>
      <c r="B34" s="11">
        <v>3.9070159065684146E-2</v>
      </c>
      <c r="C34" s="12">
        <v>0.2145068594225745</v>
      </c>
      <c r="D34" s="13"/>
      <c r="E34" s="14">
        <v>4.9151475688532051E-2</v>
      </c>
      <c r="F34" s="12">
        <v>0.15191944877368552</v>
      </c>
      <c r="G34" s="13"/>
      <c r="H34" s="14">
        <v>6.5829147804249408E-2</v>
      </c>
      <c r="I34" s="12">
        <v>0.15837350093846503</v>
      </c>
      <c r="J34" s="13"/>
      <c r="K34" s="14">
        <v>0.10398085328047975</v>
      </c>
      <c r="L34" s="11">
        <v>0.14342558061366584</v>
      </c>
      <c r="M34" s="11">
        <v>9.2737373432836293E-2</v>
      </c>
    </row>
    <row r="35" spans="1:13" x14ac:dyDescent="0.3">
      <c r="A35" s="98"/>
      <c r="B35" s="15">
        <v>13271</v>
      </c>
      <c r="C35" s="16">
        <v>117160</v>
      </c>
      <c r="D35" s="19"/>
      <c r="E35" s="18">
        <v>36082</v>
      </c>
      <c r="F35" s="16">
        <v>222246</v>
      </c>
      <c r="G35" s="19"/>
      <c r="H35" s="18">
        <v>63750</v>
      </c>
      <c r="I35" s="16">
        <v>194578</v>
      </c>
      <c r="J35" s="19"/>
      <c r="K35" s="18">
        <v>65473</v>
      </c>
      <c r="L35" s="15">
        <v>134412</v>
      </c>
      <c r="M35" s="15">
        <v>58443</v>
      </c>
    </row>
    <row r="37" spans="1:13" x14ac:dyDescent="0.3">
      <c r="A37" s="20" t="s">
        <v>110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x14ac:dyDescent="0.3">
      <c r="A38" s="5"/>
      <c r="B38" s="6" t="s">
        <v>93</v>
      </c>
      <c r="C38" s="7" t="s">
        <v>94</v>
      </c>
      <c r="D38" s="8"/>
      <c r="E38" s="9" t="s">
        <v>95</v>
      </c>
      <c r="F38" s="7" t="s">
        <v>96</v>
      </c>
      <c r="G38" s="8"/>
      <c r="H38" s="9" t="s">
        <v>97</v>
      </c>
      <c r="I38" s="7" t="s">
        <v>98</v>
      </c>
      <c r="J38" s="8"/>
      <c r="K38" s="9" t="s">
        <v>99</v>
      </c>
      <c r="L38" s="6" t="s">
        <v>100</v>
      </c>
      <c r="M38" s="6" t="s">
        <v>101</v>
      </c>
    </row>
    <row r="39" spans="1:13" x14ac:dyDescent="0.3">
      <c r="A39" s="97" t="s">
        <v>102</v>
      </c>
      <c r="B39" s="11">
        <v>0.53711974233891024</v>
      </c>
      <c r="C39" s="12">
        <v>0.74082679248530259</v>
      </c>
      <c r="D39" s="13"/>
      <c r="E39" s="14">
        <v>0.55954790777253172</v>
      </c>
      <c r="F39" s="12">
        <v>0.66287698575451837</v>
      </c>
      <c r="G39" s="13"/>
      <c r="H39" s="14">
        <v>0.58050362654066023</v>
      </c>
      <c r="I39" s="12">
        <v>0.66606598393946936</v>
      </c>
      <c r="J39" s="13"/>
      <c r="K39" s="14">
        <v>0.62372789297148956</v>
      </c>
      <c r="L39" s="11">
        <v>0.67057530504559015</v>
      </c>
      <c r="M39" s="11">
        <v>0.57018021291687226</v>
      </c>
    </row>
    <row r="40" spans="1:13" x14ac:dyDescent="0.3">
      <c r="A40" s="98"/>
      <c r="B40" s="15">
        <v>182444</v>
      </c>
      <c r="C40" s="16">
        <v>404627</v>
      </c>
      <c r="D40" s="17"/>
      <c r="E40" s="18">
        <v>410763</v>
      </c>
      <c r="F40" s="16">
        <v>969736</v>
      </c>
      <c r="G40" s="17"/>
      <c r="H40" s="18">
        <v>562169</v>
      </c>
      <c r="I40" s="16">
        <v>818330</v>
      </c>
      <c r="J40" s="17"/>
      <c r="K40" s="18">
        <v>392739</v>
      </c>
      <c r="L40" s="15">
        <v>628433</v>
      </c>
      <c r="M40" s="15">
        <v>359327</v>
      </c>
    </row>
    <row r="41" spans="1:13" x14ac:dyDescent="0.3">
      <c r="A41" s="97" t="s">
        <v>103</v>
      </c>
      <c r="B41" s="11">
        <v>0.27205148511353633</v>
      </c>
      <c r="C41" s="12">
        <v>0.55682985373034311</v>
      </c>
      <c r="D41" s="13"/>
      <c r="E41" s="14">
        <v>0.29178801740367089</v>
      </c>
      <c r="F41" s="12">
        <v>0.472093484264348</v>
      </c>
      <c r="G41" s="13"/>
      <c r="H41" s="14">
        <v>0.32979525327958231</v>
      </c>
      <c r="I41" s="12">
        <v>0.47652290977875666</v>
      </c>
      <c r="J41" s="13"/>
      <c r="K41" s="14">
        <v>0.39613349341871218</v>
      </c>
      <c r="L41" s="11">
        <v>0.46031552944817028</v>
      </c>
      <c r="M41" s="11">
        <v>0.35547184302101398</v>
      </c>
    </row>
    <row r="42" spans="1:13" x14ac:dyDescent="0.3">
      <c r="A42" s="98"/>
      <c r="B42" s="15">
        <v>92408</v>
      </c>
      <c r="C42" s="16">
        <v>304131</v>
      </c>
      <c r="D42" s="17"/>
      <c r="E42" s="18">
        <v>214201</v>
      </c>
      <c r="F42" s="16">
        <v>690635</v>
      </c>
      <c r="G42" s="17"/>
      <c r="H42" s="18">
        <v>319379</v>
      </c>
      <c r="I42" s="16">
        <v>585457</v>
      </c>
      <c r="J42" s="17"/>
      <c r="K42" s="18">
        <v>249431</v>
      </c>
      <c r="L42" s="15">
        <v>431387</v>
      </c>
      <c r="M42" s="15">
        <v>224018</v>
      </c>
    </row>
    <row r="43" spans="1:13" x14ac:dyDescent="0.3">
      <c r="A43" s="97" t="s">
        <v>104</v>
      </c>
      <c r="B43" s="11">
        <v>0.26506825722537397</v>
      </c>
      <c r="C43" s="12">
        <v>0.18399693875495943</v>
      </c>
      <c r="D43" s="13"/>
      <c r="E43" s="14">
        <v>0.26775989036886083</v>
      </c>
      <c r="F43" s="12">
        <v>0.19078350149017034</v>
      </c>
      <c r="G43" s="13"/>
      <c r="H43" s="14">
        <v>0.25070837326107787</v>
      </c>
      <c r="I43" s="12">
        <v>0.18954307416071275</v>
      </c>
      <c r="J43" s="13"/>
      <c r="K43" s="14">
        <v>0.22759439955277735</v>
      </c>
      <c r="L43" s="11">
        <v>0.21025977559741985</v>
      </c>
      <c r="M43" s="11">
        <v>0.21470836989585829</v>
      </c>
    </row>
    <row r="44" spans="1:13" x14ac:dyDescent="0.3">
      <c r="A44" s="98"/>
      <c r="B44" s="15">
        <v>90036</v>
      </c>
      <c r="C44" s="16">
        <v>100496</v>
      </c>
      <c r="D44" s="17"/>
      <c r="E44" s="18">
        <v>196562</v>
      </c>
      <c r="F44" s="16">
        <v>279101</v>
      </c>
      <c r="G44" s="17"/>
      <c r="H44" s="18">
        <v>242790</v>
      </c>
      <c r="I44" s="16">
        <v>232873</v>
      </c>
      <c r="J44" s="17"/>
      <c r="K44" s="18">
        <v>143308</v>
      </c>
      <c r="L44" s="15">
        <v>197046</v>
      </c>
      <c r="M44" s="15">
        <v>135309</v>
      </c>
    </row>
    <row r="45" spans="1:13" x14ac:dyDescent="0.3">
      <c r="A45" s="97" t="s">
        <v>105</v>
      </c>
      <c r="B45" s="11">
        <v>0.48114204627418883</v>
      </c>
      <c r="C45" s="12">
        <v>0.5856224012830864</v>
      </c>
      <c r="D45" s="13"/>
      <c r="E45" s="14">
        <v>0.49661898002718985</v>
      </c>
      <c r="F45" s="12">
        <v>0.5316401443687967</v>
      </c>
      <c r="G45" s="13"/>
      <c r="H45" s="14">
        <v>0.50726237484717307</v>
      </c>
      <c r="I45" s="12">
        <v>0.52992995290582301</v>
      </c>
      <c r="J45" s="13"/>
      <c r="K45" s="14">
        <v>0.53111024292320985</v>
      </c>
      <c r="L45" s="11">
        <v>0.53923843974582641</v>
      </c>
      <c r="M45" s="11">
        <v>0.48007534128108742</v>
      </c>
    </row>
    <row r="46" spans="1:13" x14ac:dyDescent="0.3">
      <c r="A46" s="98"/>
      <c r="B46" s="15">
        <v>163430</v>
      </c>
      <c r="C46" s="16">
        <v>319857</v>
      </c>
      <c r="D46" s="17"/>
      <c r="E46" s="18">
        <v>364567</v>
      </c>
      <c r="F46" s="16">
        <v>777747</v>
      </c>
      <c r="G46" s="17"/>
      <c r="H46" s="18">
        <v>491241</v>
      </c>
      <c r="I46" s="16">
        <v>651073</v>
      </c>
      <c r="J46" s="17"/>
      <c r="K46" s="18">
        <v>334421</v>
      </c>
      <c r="L46" s="15">
        <v>505350</v>
      </c>
      <c r="M46" s="15">
        <v>302543</v>
      </c>
    </row>
    <row r="47" spans="1:13" x14ac:dyDescent="0.3">
      <c r="A47" s="97" t="s">
        <v>106</v>
      </c>
      <c r="B47" s="11">
        <v>5.5977696064721451E-2</v>
      </c>
      <c r="C47" s="12">
        <v>0.1552043912022161</v>
      </c>
      <c r="D47" s="13"/>
      <c r="E47" s="14">
        <v>6.2928927745341909E-2</v>
      </c>
      <c r="F47" s="12">
        <v>0.1312368413857217</v>
      </c>
      <c r="G47" s="13"/>
      <c r="H47" s="14">
        <v>7.3241251693487094E-2</v>
      </c>
      <c r="I47" s="12">
        <v>0.13613603103364638</v>
      </c>
      <c r="J47" s="13"/>
      <c r="K47" s="14">
        <v>9.2617650048279723E-2</v>
      </c>
      <c r="L47" s="11">
        <v>0.13133686529976366</v>
      </c>
      <c r="M47" s="11">
        <v>9.0104871635784886E-2</v>
      </c>
    </row>
    <row r="48" spans="1:13" x14ac:dyDescent="0.3">
      <c r="A48" s="98"/>
      <c r="B48" s="15">
        <v>19014</v>
      </c>
      <c r="C48" s="16">
        <v>84770</v>
      </c>
      <c r="D48" s="17"/>
      <c r="E48" s="18">
        <v>46196</v>
      </c>
      <c r="F48" s="16">
        <v>191989</v>
      </c>
      <c r="G48" s="17"/>
      <c r="H48" s="18">
        <v>70928</v>
      </c>
      <c r="I48" s="16">
        <v>167257</v>
      </c>
      <c r="J48" s="17"/>
      <c r="K48" s="18">
        <v>58318</v>
      </c>
      <c r="L48" s="15">
        <v>123083</v>
      </c>
      <c r="M48" s="15">
        <v>56784</v>
      </c>
    </row>
    <row r="49" spans="1:13" x14ac:dyDescent="0.3">
      <c r="A49" s="97" t="s">
        <v>107</v>
      </c>
      <c r="B49" s="11">
        <v>0.49340979948244035</v>
      </c>
      <c r="C49" s="12">
        <v>0.52027983294976221</v>
      </c>
      <c r="D49" s="13"/>
      <c r="E49" s="14">
        <v>0.50546248593512033</v>
      </c>
      <c r="F49" s="12">
        <v>0.50513356847947943</v>
      </c>
      <c r="G49" s="13"/>
      <c r="H49" s="14">
        <v>0.50942983180781809</v>
      </c>
      <c r="I49" s="12">
        <v>0.50194367256442685</v>
      </c>
      <c r="J49" s="13"/>
      <c r="K49" s="14">
        <v>0.51459508563297252</v>
      </c>
      <c r="L49" s="11">
        <v>0.52146443224439931</v>
      </c>
      <c r="M49" s="11">
        <v>0.47177796219924184</v>
      </c>
    </row>
    <row r="50" spans="1:13" x14ac:dyDescent="0.3">
      <c r="A50" s="98"/>
      <c r="B50" s="15">
        <v>167597</v>
      </c>
      <c r="C50" s="16">
        <v>284168</v>
      </c>
      <c r="D50" s="17"/>
      <c r="E50" s="18">
        <v>371059</v>
      </c>
      <c r="F50" s="16">
        <v>738970</v>
      </c>
      <c r="G50" s="17"/>
      <c r="H50" s="18">
        <v>493340</v>
      </c>
      <c r="I50" s="16">
        <v>616689</v>
      </c>
      <c r="J50" s="17"/>
      <c r="K50" s="18">
        <v>324022</v>
      </c>
      <c r="L50" s="15">
        <v>488693</v>
      </c>
      <c r="M50" s="15">
        <v>297314</v>
      </c>
    </row>
    <row r="51" spans="1:13" x14ac:dyDescent="0.3">
      <c r="A51" s="97" t="s">
        <v>108</v>
      </c>
      <c r="B51" s="11">
        <v>4.3709942856469938E-2</v>
      </c>
      <c r="C51" s="12">
        <v>0.22054695953554029</v>
      </c>
      <c r="D51" s="13"/>
      <c r="E51" s="14">
        <v>5.4085421837411357E-2</v>
      </c>
      <c r="F51" s="12">
        <v>0.15774341727503896</v>
      </c>
      <c r="G51" s="13"/>
      <c r="H51" s="14">
        <v>7.1073794732842088E-2</v>
      </c>
      <c r="I51" s="12">
        <v>0.16412231137504252</v>
      </c>
      <c r="J51" s="13"/>
      <c r="K51" s="14">
        <v>0.10913280733851705</v>
      </c>
      <c r="L51" s="11">
        <v>0.14911087280119084</v>
      </c>
      <c r="M51" s="11">
        <v>9.8402250717630466E-2</v>
      </c>
    </row>
    <row r="52" spans="1:13" x14ac:dyDescent="0.3">
      <c r="A52" s="98"/>
      <c r="B52" s="15">
        <v>14847</v>
      </c>
      <c r="C52" s="16">
        <v>120459</v>
      </c>
      <c r="D52" s="19"/>
      <c r="E52" s="18">
        <v>39704</v>
      </c>
      <c r="F52" s="16">
        <v>230766</v>
      </c>
      <c r="G52" s="19"/>
      <c r="H52" s="18">
        <v>68829</v>
      </c>
      <c r="I52" s="16">
        <v>201641</v>
      </c>
      <c r="J52" s="19"/>
      <c r="K52" s="18">
        <v>68717</v>
      </c>
      <c r="L52" s="15">
        <v>139740</v>
      </c>
      <c r="M52" s="15">
        <v>62013</v>
      </c>
    </row>
    <row r="54" spans="1:13" x14ac:dyDescent="0.3">
      <c r="A54" s="20" t="s">
        <v>111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3" x14ac:dyDescent="0.3">
      <c r="A55" s="5"/>
      <c r="B55" s="6" t="s">
        <v>93</v>
      </c>
      <c r="C55" s="7" t="s">
        <v>94</v>
      </c>
      <c r="D55" s="8"/>
      <c r="E55" s="9" t="s">
        <v>95</v>
      </c>
      <c r="F55" s="7" t="s">
        <v>96</v>
      </c>
      <c r="G55" s="8"/>
      <c r="H55" s="9" t="s">
        <v>97</v>
      </c>
      <c r="I55" s="7" t="s">
        <v>98</v>
      </c>
      <c r="J55" s="8"/>
      <c r="K55" s="9" t="s">
        <v>99</v>
      </c>
      <c r="L55" s="6" t="s">
        <v>100</v>
      </c>
      <c r="M55" s="6" t="s">
        <v>101</v>
      </c>
    </row>
    <row r="56" spans="1:13" x14ac:dyDescent="0.3">
      <c r="A56" s="97" t="s">
        <v>102</v>
      </c>
      <c r="B56" s="11">
        <v>0.50504592222026545</v>
      </c>
      <c r="C56" s="12">
        <v>0.75157195824951062</v>
      </c>
      <c r="D56" s="13"/>
      <c r="E56" s="14">
        <v>0.53418073841363012</v>
      </c>
      <c r="F56" s="12">
        <v>0.6553806212929385</v>
      </c>
      <c r="G56" s="13"/>
      <c r="H56" s="14">
        <v>0.5591008227116534</v>
      </c>
      <c r="I56" s="12">
        <v>0.65862106469003767</v>
      </c>
      <c r="J56" s="13"/>
      <c r="K56" s="14">
        <v>0.60226920931255845</v>
      </c>
      <c r="L56" s="11">
        <v>0.65775494908470866</v>
      </c>
      <c r="M56" s="11">
        <v>0.56631033774928552</v>
      </c>
    </row>
    <row r="57" spans="1:13" x14ac:dyDescent="0.3">
      <c r="A57" s="98"/>
      <c r="B57" s="15">
        <v>169202</v>
      </c>
      <c r="C57" s="16">
        <v>333244</v>
      </c>
      <c r="D57" s="17"/>
      <c r="E57" s="18">
        <v>387679</v>
      </c>
      <c r="F57" s="16">
        <v>976447</v>
      </c>
      <c r="G57" s="17"/>
      <c r="H57" s="18">
        <v>534492</v>
      </c>
      <c r="I57" s="16">
        <v>829634</v>
      </c>
      <c r="J57" s="17"/>
      <c r="K57" s="18">
        <v>383251</v>
      </c>
      <c r="L57" s="15">
        <v>622225</v>
      </c>
      <c r="M57" s="15">
        <v>358650</v>
      </c>
    </row>
    <row r="58" spans="1:13" x14ac:dyDescent="0.3">
      <c r="A58" s="97" t="s">
        <v>103</v>
      </c>
      <c r="B58" s="11">
        <v>0.26257003250523098</v>
      </c>
      <c r="C58" s="12">
        <v>0.5720913134083303</v>
      </c>
      <c r="D58" s="13"/>
      <c r="E58" s="14">
        <v>0.29027413209873992</v>
      </c>
      <c r="F58" s="12">
        <v>0.4643997924683182</v>
      </c>
      <c r="G58" s="13"/>
      <c r="H58" s="14">
        <v>0.3258691297457596</v>
      </c>
      <c r="I58" s="12">
        <v>0.46921255298086062</v>
      </c>
      <c r="J58" s="13"/>
      <c r="K58" s="14">
        <v>0.38993313375605998</v>
      </c>
      <c r="L58" s="11">
        <v>0.45484115465077068</v>
      </c>
      <c r="M58" s="11">
        <v>0.35396093540288326</v>
      </c>
    </row>
    <row r="59" spans="1:13" x14ac:dyDescent="0.3">
      <c r="A59" s="98"/>
      <c r="B59" s="15">
        <v>87967</v>
      </c>
      <c r="C59" s="16">
        <v>253663</v>
      </c>
      <c r="D59" s="17"/>
      <c r="E59" s="18">
        <v>210665</v>
      </c>
      <c r="F59" s="16">
        <v>691906</v>
      </c>
      <c r="G59" s="17"/>
      <c r="H59" s="18">
        <v>311526</v>
      </c>
      <c r="I59" s="16">
        <v>591045</v>
      </c>
      <c r="J59" s="17"/>
      <c r="K59" s="18">
        <v>248132</v>
      </c>
      <c r="L59" s="15">
        <v>430272</v>
      </c>
      <c r="M59" s="15">
        <v>224167</v>
      </c>
    </row>
    <row r="60" spans="1:13" x14ac:dyDescent="0.3">
      <c r="A60" s="97" t="s">
        <v>104</v>
      </c>
      <c r="B60" s="11">
        <v>0.24239828310295114</v>
      </c>
      <c r="C60" s="12">
        <v>0.17947838952087974</v>
      </c>
      <c r="D60" s="13"/>
      <c r="E60" s="14">
        <v>0.24385424632618896</v>
      </c>
      <c r="F60" s="12">
        <v>0.19097680168978579</v>
      </c>
      <c r="G60" s="13"/>
      <c r="H60" s="14">
        <v>0.23318985130519831</v>
      </c>
      <c r="I60" s="12">
        <v>0.18940533623148598</v>
      </c>
      <c r="J60" s="13"/>
      <c r="K60" s="14">
        <v>0.21231564638678704</v>
      </c>
      <c r="L60" s="11">
        <v>0.20288948110061175</v>
      </c>
      <c r="M60" s="11">
        <v>0.21233677030206377</v>
      </c>
    </row>
    <row r="61" spans="1:13" x14ac:dyDescent="0.3">
      <c r="A61" s="98"/>
      <c r="B61" s="15">
        <v>81209</v>
      </c>
      <c r="C61" s="16">
        <v>79580</v>
      </c>
      <c r="D61" s="17"/>
      <c r="E61" s="18">
        <v>176976</v>
      </c>
      <c r="F61" s="16">
        <v>284535</v>
      </c>
      <c r="G61" s="17"/>
      <c r="H61" s="18">
        <v>222926</v>
      </c>
      <c r="I61" s="16">
        <v>238585</v>
      </c>
      <c r="J61" s="17"/>
      <c r="K61" s="18">
        <v>135106</v>
      </c>
      <c r="L61" s="15">
        <v>191930</v>
      </c>
      <c r="M61" s="15">
        <v>134475</v>
      </c>
    </row>
    <row r="62" spans="1:13" x14ac:dyDescent="0.3">
      <c r="A62" s="97" t="s">
        <v>105</v>
      </c>
      <c r="B62" s="11">
        <v>0.45199284825220953</v>
      </c>
      <c r="C62" s="12">
        <v>0.5862344270133244</v>
      </c>
      <c r="D62" s="13"/>
      <c r="E62" s="14">
        <v>0.47042556269764174</v>
      </c>
      <c r="F62" s="12">
        <v>0.52079444631258753</v>
      </c>
      <c r="G62" s="13"/>
      <c r="H62" s="14">
        <v>0.48255882675983408</v>
      </c>
      <c r="I62" s="12">
        <v>0.52079263098647011</v>
      </c>
      <c r="J62" s="13"/>
      <c r="K62" s="14">
        <v>0.50698913325318817</v>
      </c>
      <c r="L62" s="11">
        <v>0.52361934622503792</v>
      </c>
      <c r="M62" s="11">
        <v>0.4727258372676888</v>
      </c>
    </row>
    <row r="63" spans="1:13" x14ac:dyDescent="0.3">
      <c r="A63" s="98"/>
      <c r="B63" s="15">
        <v>151428</v>
      </c>
      <c r="C63" s="16">
        <v>259934</v>
      </c>
      <c r="D63" s="17"/>
      <c r="E63" s="18">
        <v>341409</v>
      </c>
      <c r="F63" s="16">
        <v>775928</v>
      </c>
      <c r="G63" s="17"/>
      <c r="H63" s="18">
        <v>461319</v>
      </c>
      <c r="I63" s="16">
        <v>656018</v>
      </c>
      <c r="J63" s="17"/>
      <c r="K63" s="18">
        <v>322620</v>
      </c>
      <c r="L63" s="15">
        <v>495335</v>
      </c>
      <c r="M63" s="15">
        <v>299382</v>
      </c>
    </row>
    <row r="64" spans="1:13" x14ac:dyDescent="0.3">
      <c r="A64" s="97" t="s">
        <v>106</v>
      </c>
      <c r="B64" s="11">
        <v>5.3053073968055926E-2</v>
      </c>
      <c r="C64" s="12">
        <v>0.16533753123618616</v>
      </c>
      <c r="D64" s="13"/>
      <c r="E64" s="14">
        <v>6.3755175715988405E-2</v>
      </c>
      <c r="F64" s="12">
        <v>0.13458617498035094</v>
      </c>
      <c r="G64" s="13"/>
      <c r="H64" s="14">
        <v>7.6541995951819333E-2</v>
      </c>
      <c r="I64" s="12">
        <v>0.13782843370356757</v>
      </c>
      <c r="J64" s="13"/>
      <c r="K64" s="14">
        <v>9.5280076059370306E-2</v>
      </c>
      <c r="L64" s="11">
        <v>0.13413560285967083</v>
      </c>
      <c r="M64" s="11">
        <v>9.3584500481596694E-2</v>
      </c>
    </row>
    <row r="65" spans="1:13" x14ac:dyDescent="0.3">
      <c r="A65" s="98"/>
      <c r="B65" s="15">
        <v>17774</v>
      </c>
      <c r="C65" s="16">
        <v>73310</v>
      </c>
      <c r="D65" s="17"/>
      <c r="E65" s="18">
        <v>46270</v>
      </c>
      <c r="F65" s="16">
        <v>200519</v>
      </c>
      <c r="G65" s="17"/>
      <c r="H65" s="18">
        <v>73173</v>
      </c>
      <c r="I65" s="16">
        <v>173616</v>
      </c>
      <c r="J65" s="17"/>
      <c r="K65" s="18">
        <v>60631</v>
      </c>
      <c r="L65" s="15">
        <v>126890</v>
      </c>
      <c r="M65" s="15">
        <v>59268</v>
      </c>
    </row>
    <row r="66" spans="1:13" x14ac:dyDescent="0.3">
      <c r="A66" s="97" t="s">
        <v>107</v>
      </c>
      <c r="B66" s="11">
        <v>0.45964903902120152</v>
      </c>
      <c r="C66" s="12">
        <v>0.53069490929101748</v>
      </c>
      <c r="D66" s="13"/>
      <c r="E66" s="14">
        <v>0.47763608429958182</v>
      </c>
      <c r="F66" s="12">
        <v>0.4993452549948218</v>
      </c>
      <c r="G66" s="13"/>
      <c r="H66" s="14">
        <v>0.48636537184160838</v>
      </c>
      <c r="I66" s="12">
        <v>0.49668837370291657</v>
      </c>
      <c r="J66" s="13"/>
      <c r="K66" s="14">
        <v>0.49176468739441653</v>
      </c>
      <c r="L66" s="11">
        <v>0.50951972709868998</v>
      </c>
      <c r="M66" s="11">
        <v>0.46688667477222845</v>
      </c>
    </row>
    <row r="67" spans="1:13" x14ac:dyDescent="0.3">
      <c r="A67" s="98"/>
      <c r="B67" s="15">
        <v>153993</v>
      </c>
      <c r="C67" s="16">
        <v>235308</v>
      </c>
      <c r="D67" s="17"/>
      <c r="E67" s="18">
        <v>346642</v>
      </c>
      <c r="F67" s="16">
        <v>743971</v>
      </c>
      <c r="G67" s="17"/>
      <c r="H67" s="18">
        <v>464958</v>
      </c>
      <c r="I67" s="16">
        <v>625655</v>
      </c>
      <c r="J67" s="17"/>
      <c r="K67" s="18">
        <v>312932</v>
      </c>
      <c r="L67" s="15">
        <v>481997</v>
      </c>
      <c r="M67" s="15">
        <v>295684</v>
      </c>
    </row>
    <row r="68" spans="1:13" x14ac:dyDescent="0.3">
      <c r="A68" s="97" t="s">
        <v>108</v>
      </c>
      <c r="B68" s="11">
        <v>4.5396883199063945E-2</v>
      </c>
      <c r="C68" s="12">
        <v>0.22087704895849308</v>
      </c>
      <c r="D68" s="13"/>
      <c r="E68" s="14">
        <v>5.6544654114048326E-2</v>
      </c>
      <c r="F68" s="12">
        <v>0.15603536629811671</v>
      </c>
      <c r="G68" s="13"/>
      <c r="H68" s="14">
        <v>7.2735450870045029E-2</v>
      </c>
      <c r="I68" s="12">
        <v>0.16193269098712107</v>
      </c>
      <c r="J68" s="13"/>
      <c r="K68" s="14">
        <v>0.11050452191814189</v>
      </c>
      <c r="L68" s="11">
        <v>0.14823522198601877</v>
      </c>
      <c r="M68" s="11">
        <v>9.9423662977057056E-2</v>
      </c>
    </row>
    <row r="69" spans="1:13" x14ac:dyDescent="0.3">
      <c r="A69" s="98"/>
      <c r="B69" s="15">
        <v>15209</v>
      </c>
      <c r="C69" s="16">
        <v>97936</v>
      </c>
      <c r="D69" s="19"/>
      <c r="E69" s="18">
        <v>41037</v>
      </c>
      <c r="F69" s="16">
        <v>232476</v>
      </c>
      <c r="G69" s="19"/>
      <c r="H69" s="18">
        <v>69534</v>
      </c>
      <c r="I69" s="16">
        <v>203979</v>
      </c>
      <c r="J69" s="19"/>
      <c r="K69" s="18">
        <v>70319</v>
      </c>
      <c r="L69" s="15">
        <v>140228</v>
      </c>
      <c r="M69" s="15">
        <v>62966</v>
      </c>
    </row>
    <row r="71" spans="1:13" x14ac:dyDescent="0.3">
      <c r="A71" s="20" t="s">
        <v>112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1:13" x14ac:dyDescent="0.3">
      <c r="A72" s="5"/>
      <c r="B72" s="6" t="s">
        <v>93</v>
      </c>
      <c r="C72" s="7" t="s">
        <v>94</v>
      </c>
      <c r="D72" s="8"/>
      <c r="E72" s="9" t="s">
        <v>95</v>
      </c>
      <c r="F72" s="7" t="s">
        <v>96</v>
      </c>
      <c r="G72" s="8"/>
      <c r="H72" s="9" t="s">
        <v>97</v>
      </c>
      <c r="I72" s="7" t="s">
        <v>98</v>
      </c>
      <c r="J72" s="8"/>
      <c r="K72" s="9" t="s">
        <v>99</v>
      </c>
      <c r="L72" s="6" t="s">
        <v>100</v>
      </c>
      <c r="M72" s="6" t="s">
        <v>101</v>
      </c>
    </row>
    <row r="73" spans="1:13" x14ac:dyDescent="0.3">
      <c r="A73" s="97" t="s">
        <v>102</v>
      </c>
      <c r="B73" s="11">
        <v>0.55103977935843207</v>
      </c>
      <c r="C73" s="12">
        <v>0.78559120966359641</v>
      </c>
      <c r="D73" s="13"/>
      <c r="E73" s="14">
        <v>0.57968156859502995</v>
      </c>
      <c r="F73" s="12">
        <v>0.69324709895274361</v>
      </c>
      <c r="G73" s="13"/>
      <c r="H73" s="14">
        <v>0.60442370957703306</v>
      </c>
      <c r="I73" s="12">
        <v>0.69522717764336683</v>
      </c>
      <c r="J73" s="13"/>
      <c r="K73" s="14">
        <v>0.6457126244411443</v>
      </c>
      <c r="L73" s="11">
        <v>0.69703895313129305</v>
      </c>
      <c r="M73" s="11">
        <v>0.60520440226745198</v>
      </c>
    </row>
    <row r="74" spans="1:13" x14ac:dyDescent="0.3">
      <c r="A74" s="98"/>
      <c r="B74" s="15">
        <v>184611</v>
      </c>
      <c r="C74" s="16">
        <v>348328</v>
      </c>
      <c r="D74" s="17"/>
      <c r="E74" s="18">
        <v>420701</v>
      </c>
      <c r="F74" s="16">
        <v>1032864</v>
      </c>
      <c r="G74" s="17"/>
      <c r="H74" s="18">
        <v>577820</v>
      </c>
      <c r="I74" s="16">
        <v>875745</v>
      </c>
      <c r="J74" s="17"/>
      <c r="K74" s="18">
        <v>410896</v>
      </c>
      <c r="L74" s="15">
        <v>659387</v>
      </c>
      <c r="M74" s="15">
        <v>383282</v>
      </c>
    </row>
    <row r="75" spans="1:13" x14ac:dyDescent="0.3">
      <c r="A75" s="97" t="s">
        <v>103</v>
      </c>
      <c r="B75" s="11">
        <v>0.27566465585944844</v>
      </c>
      <c r="C75" s="12">
        <v>0.58578110763290603</v>
      </c>
      <c r="D75" s="13"/>
      <c r="E75" s="14">
        <v>0.30380229970581951</v>
      </c>
      <c r="F75" s="12">
        <v>0.47866927356528288</v>
      </c>
      <c r="G75" s="13"/>
      <c r="H75" s="14">
        <v>0.3394697615548361</v>
      </c>
      <c r="I75" s="12">
        <v>0.48356253666684396</v>
      </c>
      <c r="J75" s="13"/>
      <c r="K75" s="14">
        <v>0.40452113240459187</v>
      </c>
      <c r="L75" s="11">
        <v>0.4687547239221001</v>
      </c>
      <c r="M75" s="11">
        <v>0.3675924902496408</v>
      </c>
    </row>
    <row r="76" spans="1:13" x14ac:dyDescent="0.3">
      <c r="A76" s="98"/>
      <c r="B76" s="15">
        <v>92354</v>
      </c>
      <c r="C76" s="16">
        <v>259733</v>
      </c>
      <c r="D76" s="17"/>
      <c r="E76" s="18">
        <v>220483</v>
      </c>
      <c r="F76" s="16">
        <v>713166</v>
      </c>
      <c r="G76" s="17"/>
      <c r="H76" s="18">
        <v>324528</v>
      </c>
      <c r="I76" s="16">
        <v>609121</v>
      </c>
      <c r="J76" s="17"/>
      <c r="K76" s="18">
        <v>257415</v>
      </c>
      <c r="L76" s="15">
        <v>443434</v>
      </c>
      <c r="M76" s="15">
        <v>232800</v>
      </c>
    </row>
    <row r="77" spans="1:13" x14ac:dyDescent="0.3">
      <c r="A77" s="97" t="s">
        <v>104</v>
      </c>
      <c r="B77" s="11">
        <v>0.27527363792933618</v>
      </c>
      <c r="C77" s="12">
        <v>0.19980784671038981</v>
      </c>
      <c r="D77" s="13"/>
      <c r="E77" s="14">
        <v>0.27580899627279554</v>
      </c>
      <c r="F77" s="12">
        <v>0.21457312706348711</v>
      </c>
      <c r="G77" s="13"/>
      <c r="H77" s="14">
        <v>0.26489746178025808</v>
      </c>
      <c r="I77" s="12">
        <v>0.21166146549883183</v>
      </c>
      <c r="J77" s="13"/>
      <c r="K77" s="14">
        <v>0.24116163401928201</v>
      </c>
      <c r="L77" s="11">
        <v>0.2282525161657239</v>
      </c>
      <c r="M77" s="11">
        <v>0.2375977009679304</v>
      </c>
    </row>
    <row r="78" spans="1:13" x14ac:dyDescent="0.3">
      <c r="A78" s="98"/>
      <c r="B78" s="15">
        <v>92223</v>
      </c>
      <c r="C78" s="16">
        <v>88594</v>
      </c>
      <c r="D78" s="17"/>
      <c r="E78" s="18">
        <v>200167</v>
      </c>
      <c r="F78" s="16">
        <v>319691</v>
      </c>
      <c r="G78" s="17"/>
      <c r="H78" s="18">
        <v>253238</v>
      </c>
      <c r="I78" s="16">
        <v>266620</v>
      </c>
      <c r="J78" s="17"/>
      <c r="K78" s="18">
        <v>153462</v>
      </c>
      <c r="L78" s="15">
        <v>215923</v>
      </c>
      <c r="M78" s="15">
        <v>150473</v>
      </c>
    </row>
    <row r="79" spans="1:13" x14ac:dyDescent="0.3">
      <c r="A79" s="97" t="s">
        <v>105</v>
      </c>
      <c r="B79" s="11">
        <v>0.49266468272327574</v>
      </c>
      <c r="C79" s="12">
        <v>0.61527844184431069</v>
      </c>
      <c r="D79" s="13"/>
      <c r="E79" s="14">
        <v>0.51069866137555198</v>
      </c>
      <c r="F79" s="12">
        <v>0.55346524884672921</v>
      </c>
      <c r="G79" s="13"/>
      <c r="H79" s="14">
        <v>0.52256468459233152</v>
      </c>
      <c r="I79" s="12">
        <v>0.55227669842408977</v>
      </c>
      <c r="J79" s="13"/>
      <c r="K79" s="14">
        <v>0.54515553669786043</v>
      </c>
      <c r="L79" s="11">
        <v>0.55758930128765527</v>
      </c>
      <c r="M79" s="11">
        <v>0.50664603432758049</v>
      </c>
    </row>
    <row r="80" spans="1:13" x14ac:dyDescent="0.3">
      <c r="A80" s="98"/>
      <c r="B80" s="15">
        <v>165054</v>
      </c>
      <c r="C80" s="16">
        <v>272812</v>
      </c>
      <c r="D80" s="17"/>
      <c r="E80" s="18">
        <v>370637</v>
      </c>
      <c r="F80" s="16">
        <v>824604</v>
      </c>
      <c r="G80" s="17"/>
      <c r="H80" s="18">
        <v>499564</v>
      </c>
      <c r="I80" s="16">
        <v>695677</v>
      </c>
      <c r="J80" s="17"/>
      <c r="K80" s="18">
        <v>346907</v>
      </c>
      <c r="L80" s="15">
        <v>527470</v>
      </c>
      <c r="M80" s="15">
        <v>320864</v>
      </c>
    </row>
    <row r="81" spans="1:13" x14ac:dyDescent="0.3">
      <c r="A81" s="97" t="s">
        <v>106</v>
      </c>
      <c r="B81" s="11">
        <v>5.8375096635156394E-2</v>
      </c>
      <c r="C81" s="12">
        <v>0.1703127678192857</v>
      </c>
      <c r="D81" s="13"/>
      <c r="E81" s="14">
        <v>6.8982907219477918E-2</v>
      </c>
      <c r="F81" s="12">
        <v>0.13978185010601432</v>
      </c>
      <c r="G81" s="13"/>
      <c r="H81" s="14">
        <v>8.1859024984701642E-2</v>
      </c>
      <c r="I81" s="12">
        <v>0.14295047921927706</v>
      </c>
      <c r="J81" s="13"/>
      <c r="K81" s="14">
        <v>0.10055708774328391</v>
      </c>
      <c r="L81" s="11">
        <v>0.13944965184363778</v>
      </c>
      <c r="M81" s="11">
        <v>9.8558367939871466E-2</v>
      </c>
    </row>
    <row r="82" spans="1:13" x14ac:dyDescent="0.3">
      <c r="A82" s="98"/>
      <c r="B82" s="15">
        <v>19557</v>
      </c>
      <c r="C82" s="16">
        <v>75516</v>
      </c>
      <c r="D82" s="17"/>
      <c r="E82" s="18">
        <v>50064</v>
      </c>
      <c r="F82" s="16">
        <v>208260</v>
      </c>
      <c r="G82" s="17"/>
      <c r="H82" s="18">
        <v>78256</v>
      </c>
      <c r="I82" s="16">
        <v>180068</v>
      </c>
      <c r="J82" s="17"/>
      <c r="K82" s="18">
        <v>63989</v>
      </c>
      <c r="L82" s="15">
        <v>131917</v>
      </c>
      <c r="M82" s="15">
        <v>62418</v>
      </c>
    </row>
    <row r="83" spans="1:13" x14ac:dyDescent="0.3">
      <c r="A83" s="97" t="s">
        <v>107</v>
      </c>
      <c r="B83" s="11">
        <v>0.49875083203242765</v>
      </c>
      <c r="C83" s="12">
        <v>0.55642585860043847</v>
      </c>
      <c r="D83" s="13"/>
      <c r="E83" s="14">
        <v>0.51593328235123903</v>
      </c>
      <c r="F83" s="12">
        <v>0.52903463537314421</v>
      </c>
      <c r="G83" s="13"/>
      <c r="H83" s="14">
        <v>0.52424881143532587</v>
      </c>
      <c r="I83" s="12">
        <v>0.52511842547114163</v>
      </c>
      <c r="J83" s="13"/>
      <c r="K83" s="14">
        <v>0.52738530199812994</v>
      </c>
      <c r="L83" s="11">
        <v>0.54099280853884268</v>
      </c>
      <c r="M83" s="11">
        <v>0.49781623533498603</v>
      </c>
    </row>
    <row r="84" spans="1:13" x14ac:dyDescent="0.3">
      <c r="A84" s="98"/>
      <c r="B84" s="15">
        <v>167093</v>
      </c>
      <c r="C84" s="16">
        <v>246717</v>
      </c>
      <c r="D84" s="17"/>
      <c r="E84" s="18">
        <v>374436</v>
      </c>
      <c r="F84" s="16">
        <v>788205</v>
      </c>
      <c r="G84" s="17"/>
      <c r="H84" s="18">
        <v>501174</v>
      </c>
      <c r="I84" s="16">
        <v>661467</v>
      </c>
      <c r="J84" s="17"/>
      <c r="K84" s="18">
        <v>335599</v>
      </c>
      <c r="L84" s="15">
        <v>511770</v>
      </c>
      <c r="M84" s="15">
        <v>315272</v>
      </c>
    </row>
    <row r="85" spans="1:13" x14ac:dyDescent="0.3">
      <c r="A85" s="97" t="s">
        <v>108</v>
      </c>
      <c r="B85" s="11">
        <v>5.2288947326004483E-2</v>
      </c>
      <c r="C85" s="12">
        <v>0.229165351063158</v>
      </c>
      <c r="D85" s="13"/>
      <c r="E85" s="14">
        <v>6.3748286243790864E-2</v>
      </c>
      <c r="F85" s="12">
        <v>0.16421246357959934</v>
      </c>
      <c r="G85" s="13"/>
      <c r="H85" s="14">
        <v>8.0174898141707238E-2</v>
      </c>
      <c r="I85" s="12">
        <v>0.17010875217222521</v>
      </c>
      <c r="J85" s="13"/>
      <c r="K85" s="14">
        <v>0.1183273224430144</v>
      </c>
      <c r="L85" s="11">
        <v>0.15604614459245039</v>
      </c>
      <c r="M85" s="11">
        <v>0.10738816693246593</v>
      </c>
    </row>
    <row r="86" spans="1:13" x14ac:dyDescent="0.3">
      <c r="A86" s="98"/>
      <c r="B86" s="15">
        <v>17518</v>
      </c>
      <c r="C86" s="16">
        <v>101611</v>
      </c>
      <c r="D86" s="19"/>
      <c r="E86" s="18">
        <v>46265</v>
      </c>
      <c r="F86" s="16">
        <v>244659</v>
      </c>
      <c r="G86" s="19"/>
      <c r="H86" s="18">
        <v>76646</v>
      </c>
      <c r="I86" s="16">
        <v>214278</v>
      </c>
      <c r="J86" s="19"/>
      <c r="K86" s="18">
        <v>75297</v>
      </c>
      <c r="L86" s="15">
        <v>147617</v>
      </c>
      <c r="M86" s="15">
        <v>68010</v>
      </c>
    </row>
    <row r="88" spans="1:13" x14ac:dyDescent="0.3">
      <c r="A88" s="20" t="s">
        <v>113</v>
      </c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 spans="1:13" x14ac:dyDescent="0.3">
      <c r="A89" s="5"/>
      <c r="B89" s="6" t="s">
        <v>93</v>
      </c>
      <c r="C89" s="7" t="s">
        <v>94</v>
      </c>
      <c r="D89" s="8"/>
      <c r="E89" s="9" t="s">
        <v>95</v>
      </c>
      <c r="F89" s="7" t="s">
        <v>96</v>
      </c>
      <c r="G89" s="8"/>
      <c r="H89" s="9" t="s">
        <v>97</v>
      </c>
      <c r="I89" s="7" t="s">
        <v>98</v>
      </c>
      <c r="J89" s="8"/>
      <c r="K89" s="9" t="s">
        <v>99</v>
      </c>
      <c r="L89" s="6" t="s">
        <v>100</v>
      </c>
      <c r="M89" s="6" t="s">
        <v>101</v>
      </c>
    </row>
    <row r="90" spans="1:13" x14ac:dyDescent="0.3">
      <c r="A90" s="97" t="s">
        <v>102</v>
      </c>
      <c r="B90" s="11">
        <v>0.54643536813103621</v>
      </c>
      <c r="C90" s="12">
        <v>0.79201783844292784</v>
      </c>
      <c r="D90" s="13"/>
      <c r="E90" s="14">
        <v>0.57571690381902085</v>
      </c>
      <c r="F90" s="12">
        <v>0.70682122025161132</v>
      </c>
      <c r="G90" s="13"/>
      <c r="H90" s="14">
        <v>0.60234259218872199</v>
      </c>
      <c r="I90" s="12">
        <v>0.69939895992105561</v>
      </c>
      <c r="J90" s="13"/>
      <c r="K90" s="14">
        <v>0.64508693857505706</v>
      </c>
      <c r="L90" s="11">
        <v>0.7008301643704673</v>
      </c>
      <c r="M90" s="11">
        <v>0.60459666516448851</v>
      </c>
    </row>
    <row r="91" spans="1:13" x14ac:dyDescent="0.3">
      <c r="A91" s="98"/>
      <c r="B91" s="15">
        <v>184052</v>
      </c>
      <c r="C91" s="16">
        <v>438667</v>
      </c>
      <c r="D91" s="17"/>
      <c r="E91" s="18">
        <v>494143</v>
      </c>
      <c r="F91" s="16">
        <v>997652</v>
      </c>
      <c r="G91" s="17"/>
      <c r="H91" s="18">
        <v>593808</v>
      </c>
      <c r="I91" s="16">
        <v>897987</v>
      </c>
      <c r="J91" s="17"/>
      <c r="K91" s="18">
        <v>428210</v>
      </c>
      <c r="L91" s="15">
        <v>674521</v>
      </c>
      <c r="M91" s="15">
        <v>389064</v>
      </c>
    </row>
    <row r="92" spans="1:13" x14ac:dyDescent="0.3">
      <c r="A92" s="97" t="s">
        <v>103</v>
      </c>
      <c r="B92" s="11">
        <v>0.26882368484337471</v>
      </c>
      <c r="C92" s="12">
        <v>0.58215252952009533</v>
      </c>
      <c r="D92" s="13"/>
      <c r="E92" s="14">
        <v>0.29457223447499675</v>
      </c>
      <c r="F92" s="12">
        <v>0.4831284985862187</v>
      </c>
      <c r="G92" s="13"/>
      <c r="H92" s="14">
        <v>0.32657524464132293</v>
      </c>
      <c r="I92" s="12">
        <v>0.4772836134993742</v>
      </c>
      <c r="J92" s="13"/>
      <c r="K92" s="14">
        <v>0.39449564779859053</v>
      </c>
      <c r="L92" s="11">
        <v>0.45957857988903433</v>
      </c>
      <c r="M92" s="11">
        <v>0.35828347655825082</v>
      </c>
    </row>
    <row r="93" spans="1:13" x14ac:dyDescent="0.3">
      <c r="A93" s="98"/>
      <c r="B93" s="15">
        <v>90546</v>
      </c>
      <c r="C93" s="16">
        <v>322431</v>
      </c>
      <c r="D93" s="17"/>
      <c r="E93" s="18">
        <v>252834</v>
      </c>
      <c r="F93" s="16">
        <v>681918</v>
      </c>
      <c r="G93" s="17"/>
      <c r="H93" s="18">
        <v>321948</v>
      </c>
      <c r="I93" s="16">
        <v>612804</v>
      </c>
      <c r="J93" s="17"/>
      <c r="K93" s="18">
        <v>261867</v>
      </c>
      <c r="L93" s="15">
        <v>442326</v>
      </c>
      <c r="M93" s="15">
        <v>230559</v>
      </c>
    </row>
    <row r="94" spans="1:13" x14ac:dyDescent="0.3">
      <c r="A94" s="97" t="s">
        <v>104</v>
      </c>
      <c r="B94" s="11">
        <v>0.27746026844960114</v>
      </c>
      <c r="C94" s="12">
        <v>0.2098562813707435</v>
      </c>
      <c r="D94" s="13"/>
      <c r="E94" s="14">
        <v>0.28106427871547429</v>
      </c>
      <c r="F94" s="12">
        <v>0.2236856368179683</v>
      </c>
      <c r="G94" s="13"/>
      <c r="H94" s="14">
        <v>0.27569735583482363</v>
      </c>
      <c r="I94" s="12">
        <v>0.22210755790180389</v>
      </c>
      <c r="J94" s="13"/>
      <c r="K94" s="14">
        <v>0.25053103184383296</v>
      </c>
      <c r="L94" s="11">
        <v>0.24121729734222722</v>
      </c>
      <c r="M94" s="11">
        <v>0.24630386474180666</v>
      </c>
    </row>
    <row r="95" spans="1:13" x14ac:dyDescent="0.3">
      <c r="A95" s="98"/>
      <c r="B95" s="15">
        <v>93455</v>
      </c>
      <c r="C95" s="16">
        <v>116231</v>
      </c>
      <c r="D95" s="17"/>
      <c r="E95" s="18">
        <v>241240</v>
      </c>
      <c r="F95" s="16">
        <v>315724</v>
      </c>
      <c r="G95" s="17"/>
      <c r="H95" s="18">
        <v>271791</v>
      </c>
      <c r="I95" s="16">
        <v>285173</v>
      </c>
      <c r="J95" s="17"/>
      <c r="K95" s="18">
        <v>166303</v>
      </c>
      <c r="L95" s="15">
        <v>232162</v>
      </c>
      <c r="M95" s="15">
        <v>158499</v>
      </c>
    </row>
    <row r="96" spans="1:13" x14ac:dyDescent="0.3">
      <c r="A96" s="97" t="s">
        <v>105</v>
      </c>
      <c r="B96" s="11">
        <v>0.48271941049156381</v>
      </c>
      <c r="C96" s="12">
        <v>0.62551366771386274</v>
      </c>
      <c r="D96" s="13"/>
      <c r="E96" s="14">
        <v>0.50416225392020819</v>
      </c>
      <c r="F96" s="12">
        <v>0.56582071226805097</v>
      </c>
      <c r="G96" s="13"/>
      <c r="H96" s="14">
        <v>0.5227407131648325</v>
      </c>
      <c r="I96" s="12">
        <v>0.5576798310825809</v>
      </c>
      <c r="J96" s="13"/>
      <c r="K96" s="14">
        <v>0.54409447395458288</v>
      </c>
      <c r="L96" s="11">
        <v>0.56446397772374957</v>
      </c>
      <c r="M96" s="11">
        <v>0.50802163136547995</v>
      </c>
    </row>
    <row r="97" spans="1:13" x14ac:dyDescent="0.3">
      <c r="A97" s="98"/>
      <c r="B97" s="15">
        <v>162591</v>
      </c>
      <c r="C97" s="16">
        <v>346447</v>
      </c>
      <c r="D97" s="17"/>
      <c r="E97" s="18">
        <v>432727</v>
      </c>
      <c r="F97" s="16">
        <v>798635</v>
      </c>
      <c r="G97" s="17"/>
      <c r="H97" s="18">
        <v>515334</v>
      </c>
      <c r="I97" s="16">
        <v>716028</v>
      </c>
      <c r="J97" s="17"/>
      <c r="K97" s="18">
        <v>361171</v>
      </c>
      <c r="L97" s="15">
        <v>543274</v>
      </c>
      <c r="M97" s="15">
        <v>326917</v>
      </c>
    </row>
    <row r="98" spans="1:13" x14ac:dyDescent="0.3">
      <c r="A98" s="97" t="s">
        <v>106</v>
      </c>
      <c r="B98" s="11">
        <v>6.3715957639472368E-2</v>
      </c>
      <c r="C98" s="12">
        <v>0.16650417072906509</v>
      </c>
      <c r="D98" s="13"/>
      <c r="E98" s="14">
        <v>7.1554649898812661E-2</v>
      </c>
      <c r="F98" s="12">
        <v>0.14100050798356031</v>
      </c>
      <c r="G98" s="13"/>
      <c r="H98" s="14">
        <v>7.9601879023889488E-2</v>
      </c>
      <c r="I98" s="12">
        <v>0.14171912883847468</v>
      </c>
      <c r="J98" s="13"/>
      <c r="K98" s="14">
        <v>0.10099246462047418</v>
      </c>
      <c r="L98" s="11">
        <v>0.13636618664671779</v>
      </c>
      <c r="M98" s="11">
        <v>9.6575033799008558E-2</v>
      </c>
    </row>
    <row r="99" spans="1:13" x14ac:dyDescent="0.3">
      <c r="A99" s="98"/>
      <c r="B99" s="15">
        <v>21461</v>
      </c>
      <c r="C99" s="16">
        <v>92220</v>
      </c>
      <c r="D99" s="17"/>
      <c r="E99" s="18">
        <v>61416</v>
      </c>
      <c r="F99" s="16">
        <v>199017</v>
      </c>
      <c r="G99" s="17"/>
      <c r="H99" s="18">
        <v>78474</v>
      </c>
      <c r="I99" s="16">
        <v>181959</v>
      </c>
      <c r="J99" s="17"/>
      <c r="K99" s="18">
        <v>67039</v>
      </c>
      <c r="L99" s="15">
        <v>131247</v>
      </c>
      <c r="M99" s="15">
        <v>62147</v>
      </c>
    </row>
    <row r="100" spans="1:13" x14ac:dyDescent="0.3">
      <c r="A100" s="97" t="s">
        <v>107</v>
      </c>
      <c r="B100" s="11">
        <v>0.49846061581305312</v>
      </c>
      <c r="C100" s="12">
        <v>0.5754883905680136</v>
      </c>
      <c r="D100" s="13"/>
      <c r="E100" s="14">
        <v>0.5157303488603755</v>
      </c>
      <c r="F100" s="12">
        <v>0.55021775278558493</v>
      </c>
      <c r="G100" s="13"/>
      <c r="H100" s="14">
        <v>0.52890809885264312</v>
      </c>
      <c r="I100" s="12">
        <v>0.54352497505726505</v>
      </c>
      <c r="J100" s="13"/>
      <c r="K100" s="14">
        <v>0.53859283340514186</v>
      </c>
      <c r="L100" s="11">
        <v>0.55732601874363608</v>
      </c>
      <c r="M100" s="11">
        <v>0.50557877888455505</v>
      </c>
    </row>
    <row r="101" spans="1:13" x14ac:dyDescent="0.3">
      <c r="A101" s="98"/>
      <c r="B101" s="15">
        <v>167893</v>
      </c>
      <c r="C101" s="16">
        <v>318740</v>
      </c>
      <c r="D101" s="17"/>
      <c r="E101" s="18">
        <v>442656</v>
      </c>
      <c r="F101" s="16">
        <v>776612</v>
      </c>
      <c r="G101" s="17"/>
      <c r="H101" s="18">
        <v>521414</v>
      </c>
      <c r="I101" s="16">
        <v>697854</v>
      </c>
      <c r="J101" s="17"/>
      <c r="K101" s="18">
        <v>357519</v>
      </c>
      <c r="L101" s="15">
        <v>536404</v>
      </c>
      <c r="M101" s="15">
        <v>325345</v>
      </c>
    </row>
    <row r="102" spans="1:13" x14ac:dyDescent="0.3">
      <c r="A102" s="97" t="s">
        <v>108</v>
      </c>
      <c r="B102" s="11">
        <v>4.7974752317983038E-2</v>
      </c>
      <c r="C102" s="12">
        <v>0.21652944787491424</v>
      </c>
      <c r="D102" s="13"/>
      <c r="E102" s="14">
        <v>5.9986554958645431E-2</v>
      </c>
      <c r="F102" s="12">
        <v>0.15660346746602638</v>
      </c>
      <c r="G102" s="13"/>
      <c r="H102" s="14">
        <v>7.3434493336078904E-2</v>
      </c>
      <c r="I102" s="12">
        <v>0.15587398486379048</v>
      </c>
      <c r="J102" s="13"/>
      <c r="K102" s="14">
        <v>0.10649410516991513</v>
      </c>
      <c r="L102" s="11">
        <v>0.14350414562683125</v>
      </c>
      <c r="M102" s="11">
        <v>9.9017886279933492E-2</v>
      </c>
    </row>
    <row r="103" spans="1:13" x14ac:dyDescent="0.3">
      <c r="A103" s="98"/>
      <c r="B103" s="15">
        <v>16159</v>
      </c>
      <c r="C103" s="16">
        <v>119927</v>
      </c>
      <c r="D103" s="19"/>
      <c r="E103" s="18">
        <v>51487</v>
      </c>
      <c r="F103" s="16">
        <v>221040</v>
      </c>
      <c r="G103" s="19"/>
      <c r="H103" s="18">
        <v>72394</v>
      </c>
      <c r="I103" s="16">
        <v>200133</v>
      </c>
      <c r="J103" s="19"/>
      <c r="K103" s="18">
        <v>70691</v>
      </c>
      <c r="L103" s="15">
        <v>138117</v>
      </c>
      <c r="M103" s="15">
        <v>63719</v>
      </c>
    </row>
    <row r="105" spans="1:13" x14ac:dyDescent="0.3">
      <c r="A105" s="20" t="s">
        <v>114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</row>
    <row r="106" spans="1:13" x14ac:dyDescent="0.3">
      <c r="A106" s="5"/>
      <c r="B106" s="6" t="s">
        <v>93</v>
      </c>
      <c r="C106" s="7" t="s">
        <v>94</v>
      </c>
      <c r="D106" s="8"/>
      <c r="E106" s="9" t="s">
        <v>95</v>
      </c>
      <c r="F106" s="7" t="s">
        <v>96</v>
      </c>
      <c r="G106" s="8"/>
      <c r="H106" s="9" t="s">
        <v>97</v>
      </c>
      <c r="I106" s="7" t="s">
        <v>98</v>
      </c>
      <c r="J106" s="8"/>
      <c r="K106" s="9" t="s">
        <v>99</v>
      </c>
      <c r="L106" s="6" t="s">
        <v>100</v>
      </c>
      <c r="M106" s="6" t="s">
        <v>101</v>
      </c>
    </row>
    <row r="107" spans="1:13" x14ac:dyDescent="0.3">
      <c r="A107" s="97" t="s">
        <v>102</v>
      </c>
      <c r="B107" s="11">
        <v>0.76019195990591126</v>
      </c>
      <c r="C107" s="12">
        <v>0.90673800578555053</v>
      </c>
      <c r="D107" s="13"/>
      <c r="E107" s="14">
        <v>0.7832304561247837</v>
      </c>
      <c r="F107" s="12">
        <v>0.86713052526148371</v>
      </c>
      <c r="G107" s="13"/>
      <c r="H107" s="14">
        <v>0.80309901738473166</v>
      </c>
      <c r="I107" s="12">
        <v>0.86917725165554927</v>
      </c>
      <c r="J107" s="13"/>
      <c r="K107" s="14">
        <v>0.83335725151402085</v>
      </c>
      <c r="L107" s="11">
        <v>0.86680059464020254</v>
      </c>
      <c r="M107" s="11">
        <v>0.81310190994005294</v>
      </c>
    </row>
    <row r="108" spans="1:13" x14ac:dyDescent="0.3">
      <c r="A108" s="98"/>
      <c r="B108" s="15">
        <v>128626</v>
      </c>
      <c r="C108" s="16">
        <v>302165</v>
      </c>
      <c r="D108" s="17"/>
      <c r="E108" s="18">
        <v>303642</v>
      </c>
      <c r="F108" s="16">
        <v>846707</v>
      </c>
      <c r="G108" s="17"/>
      <c r="H108" s="18">
        <v>429250</v>
      </c>
      <c r="I108" s="16">
        <v>721099</v>
      </c>
      <c r="J108" s="17"/>
      <c r="K108" s="18">
        <v>319385</v>
      </c>
      <c r="L108" s="15">
        <v>539345</v>
      </c>
      <c r="M108" s="15">
        <v>291619</v>
      </c>
    </row>
    <row r="109" spans="1:13" x14ac:dyDescent="0.3">
      <c r="A109" s="97" t="s">
        <v>103</v>
      </c>
      <c r="B109" s="11">
        <v>0.82868575715893456</v>
      </c>
      <c r="C109" s="12">
        <v>0.94526596310853372</v>
      </c>
      <c r="D109" s="13"/>
      <c r="E109" s="14">
        <v>0.85217762798756325</v>
      </c>
      <c r="F109" s="12">
        <v>0.91914797674828663</v>
      </c>
      <c r="G109" s="13"/>
      <c r="H109" s="14">
        <v>0.8690093282743655</v>
      </c>
      <c r="I109" s="12">
        <v>0.92170477713202892</v>
      </c>
      <c r="J109" s="13"/>
      <c r="K109" s="14">
        <v>0.892940048038947</v>
      </c>
      <c r="L109" s="11">
        <v>0.92080823293172687</v>
      </c>
      <c r="M109" s="11">
        <v>0.88203437615706148</v>
      </c>
    </row>
    <row r="110" spans="1:13" x14ac:dyDescent="0.3">
      <c r="A110" s="98"/>
      <c r="B110" s="15">
        <v>72897</v>
      </c>
      <c r="C110" s="16">
        <v>239779</v>
      </c>
      <c r="D110" s="17"/>
      <c r="E110" s="18">
        <v>179524</v>
      </c>
      <c r="F110" s="16">
        <v>635964</v>
      </c>
      <c r="G110" s="17"/>
      <c r="H110" s="18">
        <v>270719</v>
      </c>
      <c r="I110" s="16">
        <v>544769</v>
      </c>
      <c r="J110" s="17"/>
      <c r="K110" s="18">
        <v>221567</v>
      </c>
      <c r="L110" s="15">
        <v>396198</v>
      </c>
      <c r="M110" s="15">
        <v>197723</v>
      </c>
    </row>
    <row r="111" spans="1:13" x14ac:dyDescent="0.3">
      <c r="A111" s="97" t="s">
        <v>104</v>
      </c>
      <c r="B111" s="11">
        <v>0.68622935881490965</v>
      </c>
      <c r="C111" s="12">
        <v>0.78394068861522992</v>
      </c>
      <c r="D111" s="13"/>
      <c r="E111" s="14">
        <v>0.70131543260103069</v>
      </c>
      <c r="F111" s="12">
        <v>0.74065756409580541</v>
      </c>
      <c r="G111" s="13"/>
      <c r="H111" s="14">
        <v>0.71112835649498041</v>
      </c>
      <c r="I111" s="12">
        <v>0.73906574176918083</v>
      </c>
      <c r="J111" s="13"/>
      <c r="K111" s="14">
        <v>0.72400189480852073</v>
      </c>
      <c r="L111" s="11">
        <v>0.7458239983327255</v>
      </c>
      <c r="M111" s="11">
        <v>0.69824130879345603</v>
      </c>
    </row>
    <row r="112" spans="1:13" x14ac:dyDescent="0.3">
      <c r="A112" s="98"/>
      <c r="B112" s="15">
        <v>55728</v>
      </c>
      <c r="C112" s="16">
        <v>62386</v>
      </c>
      <c r="D112" s="17"/>
      <c r="E112" s="18">
        <v>124116</v>
      </c>
      <c r="F112" s="16">
        <v>210743</v>
      </c>
      <c r="G112" s="17"/>
      <c r="H112" s="18">
        <v>158529</v>
      </c>
      <c r="I112" s="16">
        <v>176330</v>
      </c>
      <c r="J112" s="17"/>
      <c r="K112" s="18">
        <v>97817</v>
      </c>
      <c r="L112" s="15">
        <v>143146</v>
      </c>
      <c r="M112" s="15">
        <v>93896</v>
      </c>
    </row>
    <row r="113" spans="1:13" x14ac:dyDescent="0.3">
      <c r="A113" s="97" t="s">
        <v>105</v>
      </c>
      <c r="B113" s="11">
        <v>0.75620757059460597</v>
      </c>
      <c r="C113" s="12">
        <v>0.89640831903483187</v>
      </c>
      <c r="D113" s="13"/>
      <c r="E113" s="14">
        <v>0.77743996203966503</v>
      </c>
      <c r="F113" s="12">
        <v>0.85398516357187781</v>
      </c>
      <c r="G113" s="13"/>
      <c r="H113" s="14">
        <v>0.79633832554046113</v>
      </c>
      <c r="I113" s="12">
        <v>0.85468691407857711</v>
      </c>
      <c r="J113" s="13"/>
      <c r="K113" s="14">
        <v>0.82442502014754204</v>
      </c>
      <c r="L113" s="11">
        <v>0.85313979428063835</v>
      </c>
      <c r="M113" s="11">
        <v>0.79994789265887734</v>
      </c>
    </row>
    <row r="114" spans="1:13" x14ac:dyDescent="0.3">
      <c r="A114" s="98"/>
      <c r="B114" s="15">
        <v>114511</v>
      </c>
      <c r="C114" s="16">
        <v>233007</v>
      </c>
      <c r="D114" s="17"/>
      <c r="E114" s="18">
        <v>265425</v>
      </c>
      <c r="F114" s="16">
        <v>662631</v>
      </c>
      <c r="G114" s="17"/>
      <c r="H114" s="18">
        <v>367366</v>
      </c>
      <c r="I114" s="16">
        <v>560690</v>
      </c>
      <c r="J114" s="17"/>
      <c r="K114" s="18">
        <v>265976</v>
      </c>
      <c r="L114" s="15">
        <v>422590</v>
      </c>
      <c r="M114" s="15">
        <v>239490</v>
      </c>
    </row>
    <row r="115" spans="1:13" x14ac:dyDescent="0.3">
      <c r="A115" s="97" t="s">
        <v>106</v>
      </c>
      <c r="B115" s="11">
        <v>0.79413750421964668</v>
      </c>
      <c r="C115" s="12">
        <v>0.94336379757195477</v>
      </c>
      <c r="D115" s="13"/>
      <c r="E115" s="14">
        <v>0.82595634320293931</v>
      </c>
      <c r="F115" s="12">
        <v>0.91799779572010631</v>
      </c>
      <c r="G115" s="13"/>
      <c r="H115" s="14">
        <v>0.84572178262473863</v>
      </c>
      <c r="I115" s="12">
        <v>0.92392982213620867</v>
      </c>
      <c r="J115" s="13"/>
      <c r="K115" s="14">
        <v>0.88088601540466094</v>
      </c>
      <c r="L115" s="11">
        <v>0.92012766963511705</v>
      </c>
      <c r="M115" s="11">
        <v>0.879547141796585</v>
      </c>
    </row>
    <row r="116" spans="1:13" x14ac:dyDescent="0.3">
      <c r="A116" s="98"/>
      <c r="B116" s="15">
        <v>14115</v>
      </c>
      <c r="C116" s="16">
        <v>69158</v>
      </c>
      <c r="D116" s="17"/>
      <c r="E116" s="18">
        <v>38217</v>
      </c>
      <c r="F116" s="16">
        <v>184076</v>
      </c>
      <c r="G116" s="17"/>
      <c r="H116" s="18">
        <v>61884</v>
      </c>
      <c r="I116" s="16">
        <v>160409</v>
      </c>
      <c r="J116" s="17"/>
      <c r="K116" s="18">
        <v>53409</v>
      </c>
      <c r="L116" s="15">
        <v>116755</v>
      </c>
      <c r="M116" s="15">
        <v>52129</v>
      </c>
    </row>
    <row r="117" spans="1:13" x14ac:dyDescent="0.3">
      <c r="A117" s="97" t="s">
        <v>107</v>
      </c>
      <c r="B117" s="11">
        <v>0.75795653049164569</v>
      </c>
      <c r="C117" s="12">
        <v>0.89172063848232952</v>
      </c>
      <c r="D117" s="13"/>
      <c r="E117" s="14">
        <v>0.77917851847150665</v>
      </c>
      <c r="F117" s="12">
        <v>0.85026298068069861</v>
      </c>
      <c r="G117" s="13"/>
      <c r="H117" s="14">
        <v>0.79600523057996642</v>
      </c>
      <c r="I117" s="12">
        <v>0.85120074162277937</v>
      </c>
      <c r="J117" s="13"/>
      <c r="K117" s="14">
        <v>0.81937609448698123</v>
      </c>
      <c r="L117" s="11">
        <v>0.84979782031838369</v>
      </c>
      <c r="M117" s="11">
        <v>0.80037472436790624</v>
      </c>
    </row>
    <row r="118" spans="1:13" x14ac:dyDescent="0.3">
      <c r="A118" s="98"/>
      <c r="B118" s="15">
        <v>116720</v>
      </c>
      <c r="C118" s="16">
        <v>209829</v>
      </c>
      <c r="D118" s="17"/>
      <c r="E118" s="18">
        <v>270096</v>
      </c>
      <c r="F118" s="16">
        <v>632571</v>
      </c>
      <c r="G118" s="17"/>
      <c r="H118" s="18">
        <v>370109</v>
      </c>
      <c r="I118" s="16">
        <v>532558</v>
      </c>
      <c r="J118" s="17"/>
      <c r="K118" s="18">
        <v>256409</v>
      </c>
      <c r="L118" s="15">
        <v>409600</v>
      </c>
      <c r="M118" s="15">
        <v>236658</v>
      </c>
    </row>
    <row r="119" spans="1:13" x14ac:dyDescent="0.3">
      <c r="A119" s="97" t="s">
        <v>108</v>
      </c>
      <c r="B119" s="11">
        <v>0.78282595831415613</v>
      </c>
      <c r="C119" s="12">
        <v>0.94281980068616245</v>
      </c>
      <c r="D119" s="13"/>
      <c r="E119" s="14">
        <v>0.81745741647781267</v>
      </c>
      <c r="F119" s="12">
        <v>0.92111013610007053</v>
      </c>
      <c r="G119" s="13"/>
      <c r="H119" s="14">
        <v>0.85053355193142921</v>
      </c>
      <c r="I119" s="12">
        <v>0.92431573838483372</v>
      </c>
      <c r="J119" s="13"/>
      <c r="K119" s="14">
        <v>0.89557587565238417</v>
      </c>
      <c r="L119" s="11">
        <v>0.92524317540006273</v>
      </c>
      <c r="M119" s="11">
        <v>0.87286789696026423</v>
      </c>
    </row>
    <row r="120" spans="1:13" x14ac:dyDescent="0.3">
      <c r="A120" s="98"/>
      <c r="B120" s="15">
        <v>11906</v>
      </c>
      <c r="C120" s="16">
        <v>92336</v>
      </c>
      <c r="D120" s="19"/>
      <c r="E120" s="18">
        <v>33546</v>
      </c>
      <c r="F120" s="16">
        <v>214136</v>
      </c>
      <c r="G120" s="19"/>
      <c r="H120" s="18">
        <v>59141</v>
      </c>
      <c r="I120" s="16">
        <v>188541</v>
      </c>
      <c r="J120" s="19"/>
      <c r="K120" s="18">
        <v>62976</v>
      </c>
      <c r="L120" s="15">
        <v>129745</v>
      </c>
      <c r="M120" s="15">
        <v>54961</v>
      </c>
    </row>
    <row r="122" spans="1:13" x14ac:dyDescent="0.3">
      <c r="A122" s="20" t="s">
        <v>115</v>
      </c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</row>
    <row r="123" spans="1:13" x14ac:dyDescent="0.3">
      <c r="A123" s="5"/>
      <c r="B123" s="6" t="s">
        <v>93</v>
      </c>
      <c r="C123" s="7" t="s">
        <v>94</v>
      </c>
      <c r="D123" s="8"/>
      <c r="E123" s="9" t="s">
        <v>95</v>
      </c>
      <c r="F123" s="7" t="s">
        <v>96</v>
      </c>
      <c r="G123" s="8"/>
      <c r="H123" s="9" t="s">
        <v>97</v>
      </c>
      <c r="I123" s="7" t="s">
        <v>98</v>
      </c>
      <c r="J123" s="8"/>
      <c r="K123" s="9" t="s">
        <v>99</v>
      </c>
      <c r="L123" s="6" t="s">
        <v>100</v>
      </c>
      <c r="M123" s="6" t="s">
        <v>101</v>
      </c>
    </row>
    <row r="124" spans="1:13" x14ac:dyDescent="0.3">
      <c r="A124" s="97" t="s">
        <v>102</v>
      </c>
      <c r="B124" s="11">
        <v>0.71710931587377014</v>
      </c>
      <c r="C124" s="12">
        <v>0.89702086277949522</v>
      </c>
      <c r="D124" s="13"/>
      <c r="E124" s="14">
        <v>0.74897903621018236</v>
      </c>
      <c r="F124" s="12">
        <v>0.85644108960743326</v>
      </c>
      <c r="G124" s="13"/>
      <c r="H124" s="14">
        <v>0.77430696367533747</v>
      </c>
      <c r="I124" s="12">
        <v>0.85178039784495763</v>
      </c>
      <c r="J124" s="13"/>
      <c r="K124" s="14">
        <v>0.80767583503901907</v>
      </c>
      <c r="L124" s="11">
        <v>0.84884634627962163</v>
      </c>
      <c r="M124" s="11">
        <v>0.78824675893482832</v>
      </c>
    </row>
    <row r="125" spans="1:13" x14ac:dyDescent="0.3">
      <c r="A125" s="98"/>
      <c r="B125" s="15">
        <v>122232</v>
      </c>
      <c r="C125" s="16">
        <v>376346</v>
      </c>
      <c r="D125" s="17"/>
      <c r="E125" s="18">
        <v>343875</v>
      </c>
      <c r="F125" s="16">
        <v>809652</v>
      </c>
      <c r="G125" s="17"/>
      <c r="H125" s="18">
        <v>427690</v>
      </c>
      <c r="I125" s="16">
        <v>725837</v>
      </c>
      <c r="J125" s="17"/>
      <c r="K125" s="18">
        <v>324361</v>
      </c>
      <c r="L125" s="15">
        <v>541210</v>
      </c>
      <c r="M125" s="15">
        <v>287956</v>
      </c>
    </row>
    <row r="126" spans="1:13" x14ac:dyDescent="0.3">
      <c r="A126" s="97" t="s">
        <v>103</v>
      </c>
      <c r="B126" s="11">
        <v>0.80026721645684795</v>
      </c>
      <c r="C126" s="12">
        <v>0.94060680609419167</v>
      </c>
      <c r="D126" s="13"/>
      <c r="E126" s="14">
        <v>0.83058302656041949</v>
      </c>
      <c r="F126" s="12">
        <v>0.91358097627184376</v>
      </c>
      <c r="G126" s="13"/>
      <c r="H126" s="14">
        <v>0.85284059320171191</v>
      </c>
      <c r="I126" s="12">
        <v>0.91131893263852259</v>
      </c>
      <c r="J126" s="13"/>
      <c r="K126" s="14">
        <v>0.87829497286376423</v>
      </c>
      <c r="L126" s="11">
        <v>0.91147746847734246</v>
      </c>
      <c r="M126" s="11">
        <v>0.86704436361669623</v>
      </c>
    </row>
    <row r="127" spans="1:13" x14ac:dyDescent="0.3">
      <c r="A127" s="98"/>
      <c r="B127" s="15">
        <v>69480</v>
      </c>
      <c r="C127" s="16">
        <v>295169</v>
      </c>
      <c r="D127" s="17"/>
      <c r="E127" s="18">
        <v>201482</v>
      </c>
      <c r="F127" s="16">
        <v>603095</v>
      </c>
      <c r="G127" s="17"/>
      <c r="H127" s="18">
        <v>263845</v>
      </c>
      <c r="I127" s="16">
        <v>540732</v>
      </c>
      <c r="J127" s="17"/>
      <c r="K127" s="18">
        <v>221708</v>
      </c>
      <c r="L127" s="15">
        <v>390497</v>
      </c>
      <c r="M127" s="15">
        <v>192372</v>
      </c>
    </row>
    <row r="128" spans="1:13" x14ac:dyDescent="0.3">
      <c r="A128" s="97" t="s">
        <v>104</v>
      </c>
      <c r="B128" s="11">
        <v>0.63090980851801792</v>
      </c>
      <c r="C128" s="12">
        <v>0.7676965415496354</v>
      </c>
      <c r="D128" s="13"/>
      <c r="E128" s="14">
        <v>0.65762528692101996</v>
      </c>
      <c r="F128" s="12">
        <v>0.72420648138084331</v>
      </c>
      <c r="G128" s="13"/>
      <c r="H128" s="14">
        <v>0.67436347022942233</v>
      </c>
      <c r="I128" s="12">
        <v>0.71529318113315454</v>
      </c>
      <c r="J128" s="13"/>
      <c r="K128" s="14">
        <v>0.68824002681863894</v>
      </c>
      <c r="L128" s="11">
        <v>0.72058943060277025</v>
      </c>
      <c r="M128" s="11">
        <v>0.66637385927118842</v>
      </c>
    </row>
    <row r="129" spans="1:13" x14ac:dyDescent="0.3">
      <c r="A129" s="98"/>
      <c r="B129" s="15">
        <v>52751</v>
      </c>
      <c r="C129" s="16">
        <v>81177</v>
      </c>
      <c r="D129" s="17"/>
      <c r="E129" s="18">
        <v>142391</v>
      </c>
      <c r="F129" s="16">
        <v>206556</v>
      </c>
      <c r="G129" s="17"/>
      <c r="H129" s="18">
        <v>163842</v>
      </c>
      <c r="I129" s="16">
        <v>185105</v>
      </c>
      <c r="J129" s="17"/>
      <c r="K129" s="18">
        <v>102651</v>
      </c>
      <c r="L129" s="15">
        <v>150712</v>
      </c>
      <c r="M129" s="15">
        <v>95584</v>
      </c>
    </row>
    <row r="130" spans="1:13" x14ac:dyDescent="0.3">
      <c r="A130" s="97" t="s">
        <v>105</v>
      </c>
      <c r="B130" s="11">
        <v>0.71382084725094108</v>
      </c>
      <c r="C130" s="12">
        <v>0.8858768133692605</v>
      </c>
      <c r="D130" s="13"/>
      <c r="E130" s="14">
        <v>0.74292830368772189</v>
      </c>
      <c r="F130" s="12">
        <v>0.84214270856656814</v>
      </c>
      <c r="G130" s="13"/>
      <c r="H130" s="14">
        <v>0.76765744586315443</v>
      </c>
      <c r="I130" s="12">
        <v>0.83593427218962846</v>
      </c>
      <c r="J130" s="13"/>
      <c r="K130" s="14">
        <v>0.79796028672945885</v>
      </c>
      <c r="L130" s="11">
        <v>0.83443474524967287</v>
      </c>
      <c r="M130" s="11">
        <v>0.7735866912062237</v>
      </c>
    </row>
    <row r="131" spans="1:13" x14ac:dyDescent="0.3">
      <c r="A131" s="98"/>
      <c r="B131" s="15">
        <v>107707</v>
      </c>
      <c r="C131" s="16">
        <v>292932</v>
      </c>
      <c r="D131" s="17"/>
      <c r="E131" s="18">
        <v>298886</v>
      </c>
      <c r="F131" s="16">
        <v>635635</v>
      </c>
      <c r="G131" s="17"/>
      <c r="H131" s="18">
        <v>368005</v>
      </c>
      <c r="I131" s="16">
        <v>566516</v>
      </c>
      <c r="J131" s="17"/>
      <c r="K131" s="18">
        <v>270171</v>
      </c>
      <c r="L131" s="15">
        <v>427289</v>
      </c>
      <c r="M131" s="15">
        <v>237061</v>
      </c>
    </row>
    <row r="132" spans="1:13" x14ac:dyDescent="0.3">
      <c r="A132" s="97" t="s">
        <v>106</v>
      </c>
      <c r="B132" s="11">
        <v>0.74247303583294999</v>
      </c>
      <c r="C132" s="12">
        <v>0.93848023221799692</v>
      </c>
      <c r="D132" s="13"/>
      <c r="E132" s="14">
        <v>0.79182286991569428</v>
      </c>
      <c r="F132" s="12">
        <v>0.9130676600991684</v>
      </c>
      <c r="G132" s="13"/>
      <c r="H132" s="14">
        <v>0.81799492907558413</v>
      </c>
      <c r="I132" s="12">
        <v>0.91334407264513839</v>
      </c>
      <c r="J132" s="13"/>
      <c r="K132" s="14">
        <v>0.85987210612335574</v>
      </c>
      <c r="L132" s="11">
        <v>0.90764303299259841</v>
      </c>
      <c r="M132" s="11">
        <v>0.86456139158795953</v>
      </c>
    </row>
    <row r="133" spans="1:13" x14ac:dyDescent="0.3">
      <c r="A133" s="98"/>
      <c r="B133" s="15">
        <v>14525</v>
      </c>
      <c r="C133" s="16">
        <v>83414</v>
      </c>
      <c r="D133" s="17"/>
      <c r="E133" s="18">
        <v>44989</v>
      </c>
      <c r="F133" s="16">
        <v>174017</v>
      </c>
      <c r="G133" s="17"/>
      <c r="H133" s="18">
        <v>59685</v>
      </c>
      <c r="I133" s="16">
        <v>159321</v>
      </c>
      <c r="J133" s="17"/>
      <c r="K133" s="18">
        <v>54190</v>
      </c>
      <c r="L133" s="15">
        <v>113921</v>
      </c>
      <c r="M133" s="15">
        <v>50895</v>
      </c>
    </row>
    <row r="134" spans="1:13" x14ac:dyDescent="0.3">
      <c r="A134" s="97" t="s">
        <v>107</v>
      </c>
      <c r="B134" s="11">
        <v>0.71555439049652825</v>
      </c>
      <c r="C134" s="12">
        <v>0.8811286726128017</v>
      </c>
      <c r="D134" s="13"/>
      <c r="E134" s="14">
        <v>0.74471008252948523</v>
      </c>
      <c r="F134" s="12">
        <v>0.84002415344220471</v>
      </c>
      <c r="G134" s="13"/>
      <c r="H134" s="14">
        <v>0.76731310468847191</v>
      </c>
      <c r="I134" s="12">
        <v>0.83401482392816007</v>
      </c>
      <c r="J134" s="13"/>
      <c r="K134" s="14">
        <v>0.79374695314079169</v>
      </c>
      <c r="L134" s="11">
        <v>0.83188190398095074</v>
      </c>
      <c r="M134" s="11">
        <v>0.77576103438717781</v>
      </c>
    </row>
    <row r="135" spans="1:13" x14ac:dyDescent="0.3">
      <c r="A135" s="98"/>
      <c r="B135" s="15">
        <v>111917</v>
      </c>
      <c r="C135" s="16">
        <v>268709</v>
      </c>
      <c r="D135" s="17"/>
      <c r="E135" s="18">
        <v>307884</v>
      </c>
      <c r="F135" s="16">
        <v>619060</v>
      </c>
      <c r="G135" s="17"/>
      <c r="H135" s="18">
        <v>373782</v>
      </c>
      <c r="I135" s="16">
        <v>553162</v>
      </c>
      <c r="J135" s="17"/>
      <c r="K135" s="18">
        <v>267026</v>
      </c>
      <c r="L135" s="15">
        <v>422027</v>
      </c>
      <c r="M135" s="15">
        <v>237891</v>
      </c>
    </row>
    <row r="136" spans="1:13" x14ac:dyDescent="0.3">
      <c r="A136" s="97" t="s">
        <v>108</v>
      </c>
      <c r="B136" s="11">
        <v>0.7344250622997508</v>
      </c>
      <c r="C136" s="12">
        <v>0.93931460585909887</v>
      </c>
      <c r="D136" s="13"/>
      <c r="E136" s="14">
        <v>0.78760093660415342</v>
      </c>
      <c r="F136" s="12">
        <v>0.91449189829809086</v>
      </c>
      <c r="G136" s="13"/>
      <c r="H136" s="14">
        <v>0.82654359792091503</v>
      </c>
      <c r="I136" s="12">
        <v>0.91416122696398416</v>
      </c>
      <c r="J136" s="13"/>
      <c r="K136" s="14">
        <v>0.87956002822691992</v>
      </c>
      <c r="L136" s="11">
        <v>0.91491321670108317</v>
      </c>
      <c r="M136" s="11">
        <v>0.85352131885367477</v>
      </c>
    </row>
    <row r="137" spans="1:13" x14ac:dyDescent="0.3">
      <c r="A137" s="98"/>
      <c r="B137" s="15">
        <v>10315</v>
      </c>
      <c r="C137" s="16">
        <v>107637</v>
      </c>
      <c r="D137" s="19"/>
      <c r="E137" s="18">
        <v>35991</v>
      </c>
      <c r="F137" s="16">
        <v>190592</v>
      </c>
      <c r="G137" s="19"/>
      <c r="H137" s="18">
        <v>53908</v>
      </c>
      <c r="I137" s="16">
        <v>172675</v>
      </c>
      <c r="J137" s="19"/>
      <c r="K137" s="18">
        <v>57335</v>
      </c>
      <c r="L137" s="15">
        <v>119183</v>
      </c>
      <c r="M137" s="15">
        <v>50065</v>
      </c>
    </row>
    <row r="139" spans="1:13" x14ac:dyDescent="0.3">
      <c r="A139" s="20" t="s">
        <v>116</v>
      </c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</row>
    <row r="140" spans="1:13" x14ac:dyDescent="0.3">
      <c r="A140" s="5"/>
      <c r="B140" s="6" t="s">
        <v>93</v>
      </c>
      <c r="C140" s="7" t="s">
        <v>94</v>
      </c>
      <c r="D140" s="8"/>
      <c r="E140" s="9" t="s">
        <v>95</v>
      </c>
      <c r="F140" s="7" t="s">
        <v>96</v>
      </c>
      <c r="G140" s="8"/>
      <c r="H140" s="9" t="s">
        <v>97</v>
      </c>
      <c r="I140" s="7" t="s">
        <v>98</v>
      </c>
      <c r="J140" s="8"/>
      <c r="K140" s="9" t="s">
        <v>99</v>
      </c>
      <c r="L140" s="6" t="s">
        <v>100</v>
      </c>
      <c r="M140" s="6" t="s">
        <v>101</v>
      </c>
    </row>
    <row r="141" spans="1:13" x14ac:dyDescent="0.3">
      <c r="A141" s="97" t="s">
        <v>102</v>
      </c>
      <c r="B141" s="11">
        <v>0.25063114633788347</v>
      </c>
      <c r="C141" s="12">
        <v>0.59400714579928016</v>
      </c>
      <c r="D141" s="13"/>
      <c r="E141" s="14">
        <v>0.28885554122432783</v>
      </c>
      <c r="F141" s="12">
        <v>0.48886144908112378</v>
      </c>
      <c r="G141" s="13"/>
      <c r="H141" s="14">
        <v>0.31544683369500887</v>
      </c>
      <c r="I141" s="12">
        <v>0.4845848733076859</v>
      </c>
      <c r="J141" s="13"/>
      <c r="K141" s="14">
        <v>0.37554198054875582</v>
      </c>
      <c r="L141" s="11">
        <v>0.46951103517015519</v>
      </c>
      <c r="M141" s="11">
        <v>0.38584146509881062</v>
      </c>
    </row>
    <row r="142" spans="1:13" x14ac:dyDescent="0.3">
      <c r="A142" s="98"/>
      <c r="B142" s="15">
        <v>68302</v>
      </c>
      <c r="C142" s="16">
        <v>318708</v>
      </c>
      <c r="D142" s="17"/>
      <c r="E142" s="18">
        <v>209619</v>
      </c>
      <c r="F142" s="16">
        <v>653641</v>
      </c>
      <c r="G142" s="17"/>
      <c r="H142" s="18">
        <v>254241</v>
      </c>
      <c r="I142" s="16">
        <v>609019</v>
      </c>
      <c r="J142" s="17"/>
      <c r="K142" s="18">
        <v>221990</v>
      </c>
      <c r="L142" s="15">
        <v>412172</v>
      </c>
      <c r="M142" s="15">
        <v>229098</v>
      </c>
    </row>
    <row r="143" spans="1:13" x14ac:dyDescent="0.3">
      <c r="A143" s="97" t="s">
        <v>103</v>
      </c>
      <c r="B143" s="11">
        <v>0.16234404814325554</v>
      </c>
      <c r="C143" s="12">
        <v>0.50817181975587977</v>
      </c>
      <c r="D143" s="13"/>
      <c r="E143" s="14">
        <v>0.19414128385752555</v>
      </c>
      <c r="F143" s="12">
        <v>0.39818094517257163</v>
      </c>
      <c r="G143" s="13"/>
      <c r="H143" s="14">
        <v>0.22300802386190074</v>
      </c>
      <c r="I143" s="12">
        <v>0.39270280915192335</v>
      </c>
      <c r="J143" s="13"/>
      <c r="K143" s="14">
        <v>0.29280567872120505</v>
      </c>
      <c r="L143" s="11">
        <v>0.38259661113484267</v>
      </c>
      <c r="M143" s="11">
        <v>0.27675398560365938</v>
      </c>
    </row>
    <row r="144" spans="1:13" x14ac:dyDescent="0.3">
      <c r="A144" s="98"/>
      <c r="B144" s="15">
        <v>44242</v>
      </c>
      <c r="C144" s="16">
        <v>272654</v>
      </c>
      <c r="D144" s="17"/>
      <c r="E144" s="18">
        <v>140886</v>
      </c>
      <c r="F144" s="16">
        <v>532395</v>
      </c>
      <c r="G144" s="17"/>
      <c r="H144" s="18">
        <v>179738</v>
      </c>
      <c r="I144" s="16">
        <v>493543</v>
      </c>
      <c r="J144" s="17"/>
      <c r="K144" s="18">
        <v>173083</v>
      </c>
      <c r="L144" s="15">
        <v>335872</v>
      </c>
      <c r="M144" s="15">
        <v>164326</v>
      </c>
    </row>
    <row r="145" spans="1:13" x14ac:dyDescent="0.3">
      <c r="A145" s="97" t="s">
        <v>104</v>
      </c>
      <c r="B145" s="11">
        <v>8.7920152649346842E-2</v>
      </c>
      <c r="C145" s="12">
        <v>8.5818551866686299E-2</v>
      </c>
      <c r="D145" s="13"/>
      <c r="E145" s="14">
        <v>9.4481374915941843E-2</v>
      </c>
      <c r="F145" s="12">
        <v>9.0652083514077067E-2</v>
      </c>
      <c r="G145" s="13"/>
      <c r="H145" s="14">
        <v>9.2217958214377435E-2</v>
      </c>
      <c r="I145" s="12">
        <v>9.1858989405506908E-2</v>
      </c>
      <c r="J145" s="13"/>
      <c r="K145" s="14">
        <v>8.260434870136131E-2</v>
      </c>
      <c r="L145" s="11">
        <v>8.6790260572404951E-2</v>
      </c>
      <c r="M145" s="11">
        <v>0.10905379596538681</v>
      </c>
    </row>
    <row r="146" spans="1:13" x14ac:dyDescent="0.3">
      <c r="A146" s="98"/>
      <c r="B146" s="15">
        <v>23960</v>
      </c>
      <c r="C146" s="16">
        <v>46045</v>
      </c>
      <c r="D146" s="17"/>
      <c r="E146" s="18">
        <v>68564</v>
      </c>
      <c r="F146" s="16">
        <v>121208</v>
      </c>
      <c r="G146" s="17"/>
      <c r="H146" s="18">
        <v>74325</v>
      </c>
      <c r="I146" s="16">
        <v>115447</v>
      </c>
      <c r="J146" s="17"/>
      <c r="K146" s="18">
        <v>48829</v>
      </c>
      <c r="L146" s="15">
        <v>76191</v>
      </c>
      <c r="M146" s="15">
        <v>64752</v>
      </c>
    </row>
    <row r="147" spans="1:13" x14ac:dyDescent="0.3">
      <c r="A147" s="97" t="s">
        <v>105</v>
      </c>
      <c r="B147" s="11">
        <v>0.21239175106414207</v>
      </c>
      <c r="C147" s="12">
        <v>0.44052715646020141</v>
      </c>
      <c r="D147" s="13"/>
      <c r="E147" s="14">
        <v>0.24143709142220898</v>
      </c>
      <c r="F147" s="12">
        <v>0.36975681117190751</v>
      </c>
      <c r="G147" s="13"/>
      <c r="H147" s="14">
        <v>0.26156648316130482</v>
      </c>
      <c r="I147" s="12">
        <v>0.36504493608692018</v>
      </c>
      <c r="J147" s="13"/>
      <c r="K147" s="14">
        <v>0.30044542638622679</v>
      </c>
      <c r="L147" s="11">
        <v>0.35116958564715933</v>
      </c>
      <c r="M147" s="11">
        <v>0.30941016771029467</v>
      </c>
    </row>
    <row r="148" spans="1:13" x14ac:dyDescent="0.3">
      <c r="A148" s="98"/>
      <c r="B148" s="15">
        <v>57881</v>
      </c>
      <c r="C148" s="16">
        <v>236360</v>
      </c>
      <c r="D148" s="17"/>
      <c r="E148" s="18">
        <v>175208</v>
      </c>
      <c r="F148" s="16">
        <v>494390</v>
      </c>
      <c r="G148" s="17"/>
      <c r="H148" s="18">
        <v>210815</v>
      </c>
      <c r="I148" s="16">
        <v>458783</v>
      </c>
      <c r="J148" s="17"/>
      <c r="K148" s="18">
        <v>177599</v>
      </c>
      <c r="L148" s="15">
        <v>308283</v>
      </c>
      <c r="M148" s="15">
        <v>183716</v>
      </c>
    </row>
    <row r="149" spans="1:13" x14ac:dyDescent="0.3">
      <c r="A149" s="97" t="s">
        <v>106</v>
      </c>
      <c r="B149" s="11">
        <v>3.8239395273741379E-2</v>
      </c>
      <c r="C149" s="12">
        <v>0.1534799893390788</v>
      </c>
      <c r="D149" s="13"/>
      <c r="E149" s="14">
        <v>4.7418449802118817E-2</v>
      </c>
      <c r="F149" s="12">
        <v>0.11910463790921628</v>
      </c>
      <c r="G149" s="13"/>
      <c r="H149" s="14">
        <v>5.3880350533704068E-2</v>
      </c>
      <c r="I149" s="12">
        <v>0.11953993722076568</v>
      </c>
      <c r="J149" s="13"/>
      <c r="K149" s="14">
        <v>7.5096554162529028E-2</v>
      </c>
      <c r="L149" s="11">
        <v>0.11834144952299587</v>
      </c>
      <c r="M149" s="11">
        <v>7.6431297388515937E-2</v>
      </c>
    </row>
    <row r="150" spans="1:13" x14ac:dyDescent="0.3">
      <c r="A150" s="98"/>
      <c r="B150" s="15">
        <v>10421</v>
      </c>
      <c r="C150" s="16">
        <v>82348</v>
      </c>
      <c r="D150" s="17"/>
      <c r="E150" s="18">
        <v>34411</v>
      </c>
      <c r="F150" s="16">
        <v>159251</v>
      </c>
      <c r="G150" s="17"/>
      <c r="H150" s="18">
        <v>43426</v>
      </c>
      <c r="I150" s="16">
        <v>150236</v>
      </c>
      <c r="J150" s="17"/>
      <c r="K150" s="18">
        <v>44391</v>
      </c>
      <c r="L150" s="15">
        <v>103889</v>
      </c>
      <c r="M150" s="15">
        <v>45382</v>
      </c>
    </row>
    <row r="151" spans="1:13" x14ac:dyDescent="0.3">
      <c r="A151" s="97" t="s">
        <v>107</v>
      </c>
      <c r="B151" s="11">
        <v>0.22621092029942758</v>
      </c>
      <c r="C151" s="12">
        <v>0.41427370610524117</v>
      </c>
      <c r="D151" s="13"/>
      <c r="E151" s="14">
        <v>0.25385840746987687</v>
      </c>
      <c r="F151" s="12">
        <v>0.36500462205362777</v>
      </c>
      <c r="G151" s="13"/>
      <c r="H151" s="14">
        <v>0.27038441829792881</v>
      </c>
      <c r="I151" s="12">
        <v>0.36150654248737851</v>
      </c>
      <c r="J151" s="13"/>
      <c r="K151" s="14">
        <v>0.2986556006489387</v>
      </c>
      <c r="L151" s="11">
        <v>0.35191000996725047</v>
      </c>
      <c r="M151" s="11">
        <v>0.31457722117616149</v>
      </c>
    </row>
    <row r="152" spans="1:13" x14ac:dyDescent="0.3">
      <c r="A152" s="98"/>
      <c r="B152" s="15">
        <v>61647</v>
      </c>
      <c r="C152" s="16">
        <v>222274</v>
      </c>
      <c r="D152" s="17"/>
      <c r="E152" s="18">
        <v>184222</v>
      </c>
      <c r="F152" s="16">
        <v>488036</v>
      </c>
      <c r="G152" s="17"/>
      <c r="H152" s="18">
        <v>217922</v>
      </c>
      <c r="I152" s="16">
        <v>454336</v>
      </c>
      <c r="J152" s="17"/>
      <c r="K152" s="18">
        <v>176541</v>
      </c>
      <c r="L152" s="15">
        <v>308933</v>
      </c>
      <c r="M152" s="15">
        <v>186784</v>
      </c>
    </row>
    <row r="153" spans="1:13" x14ac:dyDescent="0.3">
      <c r="A153" s="97" t="s">
        <v>108</v>
      </c>
      <c r="B153" s="11">
        <v>2.4420226038455894E-2</v>
      </c>
      <c r="C153" s="12">
        <v>0.17973343969403902</v>
      </c>
      <c r="D153" s="13"/>
      <c r="E153" s="14">
        <v>3.4997133754450946E-2</v>
      </c>
      <c r="F153" s="12">
        <v>0.12385682702749598</v>
      </c>
      <c r="G153" s="13"/>
      <c r="H153" s="14">
        <v>4.5062415397080044E-2</v>
      </c>
      <c r="I153" s="12">
        <v>0.12307833082030738</v>
      </c>
      <c r="J153" s="13"/>
      <c r="K153" s="14">
        <v>7.6886379899817128E-2</v>
      </c>
      <c r="L153" s="11">
        <v>0.11760102520290475</v>
      </c>
      <c r="M153" s="11">
        <v>7.1264243922649143E-2</v>
      </c>
    </row>
    <row r="154" spans="1:13" x14ac:dyDescent="0.3">
      <c r="A154" s="98"/>
      <c r="B154" s="15">
        <v>6655</v>
      </c>
      <c r="C154" s="16">
        <v>96434</v>
      </c>
      <c r="D154" s="19"/>
      <c r="E154" s="18">
        <v>25397</v>
      </c>
      <c r="F154" s="16">
        <v>165605</v>
      </c>
      <c r="G154" s="19"/>
      <c r="H154" s="18">
        <v>36319</v>
      </c>
      <c r="I154" s="16">
        <v>154683</v>
      </c>
      <c r="J154" s="19"/>
      <c r="K154" s="18">
        <v>45449</v>
      </c>
      <c r="L154" s="15">
        <v>103239</v>
      </c>
      <c r="M154" s="15">
        <v>42314</v>
      </c>
    </row>
    <row r="156" spans="1:13" x14ac:dyDescent="0.3">
      <c r="A156" s="20" t="s">
        <v>117</v>
      </c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</row>
    <row r="157" spans="1:13" x14ac:dyDescent="0.3">
      <c r="A157" s="5"/>
      <c r="B157" s="6" t="s">
        <v>93</v>
      </c>
      <c r="C157" s="7" t="s">
        <v>94</v>
      </c>
      <c r="D157" s="8"/>
      <c r="E157" s="9" t="s">
        <v>95</v>
      </c>
      <c r="F157" s="7" t="s">
        <v>96</v>
      </c>
      <c r="G157" s="8"/>
      <c r="H157" s="9" t="s">
        <v>97</v>
      </c>
      <c r="I157" s="7" t="s">
        <v>98</v>
      </c>
      <c r="J157" s="8"/>
      <c r="K157" s="9" t="s">
        <v>99</v>
      </c>
      <c r="L157" s="6" t="s">
        <v>100</v>
      </c>
      <c r="M157" s="6" t="s">
        <v>101</v>
      </c>
    </row>
    <row r="158" spans="1:13" x14ac:dyDescent="0.3">
      <c r="A158" s="97" t="s">
        <v>102</v>
      </c>
      <c r="B158" s="11">
        <v>0.24472290343893124</v>
      </c>
      <c r="C158" s="12">
        <v>0.5993601130892966</v>
      </c>
      <c r="D158" s="13"/>
      <c r="E158" s="14">
        <v>0.28983858802639695</v>
      </c>
      <c r="F158" s="12">
        <v>0.49917351785364178</v>
      </c>
      <c r="G158" s="13"/>
      <c r="H158" s="14">
        <v>0.31569219324835157</v>
      </c>
      <c r="I158" s="12">
        <v>0.49102256685939705</v>
      </c>
      <c r="J158" s="13"/>
      <c r="K158" s="14">
        <v>0.37614941976049054</v>
      </c>
      <c r="L158" s="11">
        <v>0.47375154639528549</v>
      </c>
      <c r="M158" s="11">
        <v>0.39213541613175995</v>
      </c>
    </row>
    <row r="159" spans="1:13" x14ac:dyDescent="0.3">
      <c r="A159" s="98"/>
      <c r="B159" s="15">
        <v>65562</v>
      </c>
      <c r="C159" s="16">
        <v>318841</v>
      </c>
      <c r="D159" s="17"/>
      <c r="E159" s="18">
        <v>214813</v>
      </c>
      <c r="F159" s="16">
        <v>644138</v>
      </c>
      <c r="G159" s="17"/>
      <c r="H159" s="18">
        <v>249537</v>
      </c>
      <c r="I159" s="16">
        <v>609414</v>
      </c>
      <c r="J159" s="17"/>
      <c r="K159" s="18">
        <v>215127</v>
      </c>
      <c r="L159" s="15">
        <v>414733</v>
      </c>
      <c r="M159" s="15">
        <v>229091</v>
      </c>
    </row>
    <row r="160" spans="1:13" x14ac:dyDescent="0.3">
      <c r="A160" s="97" t="s">
        <v>103</v>
      </c>
      <c r="B160" s="11">
        <v>0.15765407628880601</v>
      </c>
      <c r="C160" s="12">
        <v>0.51343029387050754</v>
      </c>
      <c r="D160" s="13"/>
      <c r="E160" s="14">
        <v>0.19576818094116283</v>
      </c>
      <c r="F160" s="12">
        <v>0.40612937448514386</v>
      </c>
      <c r="G160" s="13"/>
      <c r="H160" s="14">
        <v>0.22315432845337557</v>
      </c>
      <c r="I160" s="12">
        <v>0.39704313551073556</v>
      </c>
      <c r="J160" s="13"/>
      <c r="K160" s="14">
        <v>0.29328453854479392</v>
      </c>
      <c r="L160" s="11">
        <v>0.3858237674815489</v>
      </c>
      <c r="M160" s="11">
        <v>0.28015761347725321</v>
      </c>
    </row>
    <row r="161" spans="1:13" x14ac:dyDescent="0.3">
      <c r="A161" s="98"/>
      <c r="B161" s="15">
        <v>42236</v>
      </c>
      <c r="C161" s="16">
        <v>273129</v>
      </c>
      <c r="D161" s="17"/>
      <c r="E161" s="18">
        <v>145093</v>
      </c>
      <c r="F161" s="16">
        <v>524073</v>
      </c>
      <c r="G161" s="17"/>
      <c r="H161" s="18">
        <v>176391</v>
      </c>
      <c r="I161" s="16">
        <v>492775</v>
      </c>
      <c r="J161" s="17"/>
      <c r="K161" s="18">
        <v>167735</v>
      </c>
      <c r="L161" s="15">
        <v>337759</v>
      </c>
      <c r="M161" s="15">
        <v>163672</v>
      </c>
    </row>
    <row r="162" spans="1:13" x14ac:dyDescent="0.3">
      <c r="A162" s="97" t="s">
        <v>104</v>
      </c>
      <c r="B162" s="11">
        <v>8.6673161554741834E-2</v>
      </c>
      <c r="C162" s="12">
        <v>8.5892223043072063E-2</v>
      </c>
      <c r="D162" s="13"/>
      <c r="E162" s="14">
        <v>9.3824841765533698E-2</v>
      </c>
      <c r="F162" s="12">
        <v>9.3006170911703184E-2</v>
      </c>
      <c r="G162" s="13"/>
      <c r="H162" s="14">
        <v>9.2311409789940846E-2</v>
      </c>
      <c r="I162" s="12">
        <v>9.3937533437755821E-2</v>
      </c>
      <c r="J162" s="13"/>
      <c r="K162" s="14">
        <v>8.2728498266362888E-2</v>
      </c>
      <c r="L162" s="11">
        <v>8.7779279274133759E-2</v>
      </c>
      <c r="M162" s="11">
        <v>0.11193843351922413</v>
      </c>
    </row>
    <row r="163" spans="1:13" x14ac:dyDescent="0.3">
      <c r="A163" s="98"/>
      <c r="B163" s="15">
        <v>23220</v>
      </c>
      <c r="C163" s="16">
        <v>45692</v>
      </c>
      <c r="D163" s="17"/>
      <c r="E163" s="18">
        <v>69538</v>
      </c>
      <c r="F163" s="16">
        <v>120016</v>
      </c>
      <c r="G163" s="17"/>
      <c r="H163" s="18">
        <v>72967</v>
      </c>
      <c r="I163" s="16">
        <v>116587</v>
      </c>
      <c r="J163" s="17"/>
      <c r="K163" s="18">
        <v>47314</v>
      </c>
      <c r="L163" s="15">
        <v>76844</v>
      </c>
      <c r="M163" s="15">
        <v>65396</v>
      </c>
    </row>
    <row r="164" spans="1:13" x14ac:dyDescent="0.3">
      <c r="A164" s="97" t="s">
        <v>105</v>
      </c>
      <c r="B164" s="11">
        <v>0.20799319156560397</v>
      </c>
      <c r="C164" s="12">
        <v>0.44216674279892249</v>
      </c>
      <c r="D164" s="13"/>
      <c r="E164" s="14">
        <v>0.24272107962388029</v>
      </c>
      <c r="F164" s="12">
        <v>0.37673481818555205</v>
      </c>
      <c r="G164" s="13"/>
      <c r="H164" s="14">
        <v>0.26267515472316827</v>
      </c>
      <c r="I164" s="12">
        <v>0.3693494221311211</v>
      </c>
      <c r="J164" s="13"/>
      <c r="K164" s="14">
        <v>0.30151647348663008</v>
      </c>
      <c r="L164" s="11">
        <v>0.35397630631134891</v>
      </c>
      <c r="M164" s="11">
        <v>0.31446011221915254</v>
      </c>
    </row>
    <row r="165" spans="1:13" x14ac:dyDescent="0.3">
      <c r="A165" s="98"/>
      <c r="B165" s="15">
        <v>55722</v>
      </c>
      <c r="C165" s="16">
        <v>235219</v>
      </c>
      <c r="D165" s="17"/>
      <c r="E165" s="18">
        <v>179892</v>
      </c>
      <c r="F165" s="16">
        <v>486142</v>
      </c>
      <c r="G165" s="17"/>
      <c r="H165" s="18">
        <v>207630</v>
      </c>
      <c r="I165" s="16">
        <v>458404</v>
      </c>
      <c r="J165" s="17"/>
      <c r="K165" s="18">
        <v>172443</v>
      </c>
      <c r="L165" s="15">
        <v>309879</v>
      </c>
      <c r="M165" s="15">
        <v>183712</v>
      </c>
    </row>
    <row r="166" spans="1:13" x14ac:dyDescent="0.3">
      <c r="A166" s="97" t="s">
        <v>106</v>
      </c>
      <c r="B166" s="11">
        <v>3.6729711873327284E-2</v>
      </c>
      <c r="C166" s="12">
        <v>0.15719337029037406</v>
      </c>
      <c r="D166" s="13"/>
      <c r="E166" s="14">
        <v>4.711750840251664E-2</v>
      </c>
      <c r="F166" s="12">
        <v>0.12243869966808973</v>
      </c>
      <c r="G166" s="13"/>
      <c r="H166" s="14">
        <v>5.3017038525183316E-2</v>
      </c>
      <c r="I166" s="12">
        <v>0.12167314472827594</v>
      </c>
      <c r="J166" s="13"/>
      <c r="K166" s="14">
        <v>7.4632946273860454E-2</v>
      </c>
      <c r="L166" s="11">
        <v>0.11977524008393657</v>
      </c>
      <c r="M166" s="11">
        <v>7.7675303912607366E-2</v>
      </c>
    </row>
    <row r="167" spans="1:13" x14ac:dyDescent="0.3">
      <c r="A167" s="98"/>
      <c r="B167" s="15">
        <v>9840</v>
      </c>
      <c r="C167" s="16">
        <v>83622</v>
      </c>
      <c r="D167" s="17"/>
      <c r="E167" s="18">
        <v>34921</v>
      </c>
      <c r="F167" s="16">
        <v>157996</v>
      </c>
      <c r="G167" s="17"/>
      <c r="H167" s="18">
        <v>41907</v>
      </c>
      <c r="I167" s="16">
        <v>151010</v>
      </c>
      <c r="J167" s="17"/>
      <c r="K167" s="18">
        <v>42684</v>
      </c>
      <c r="L167" s="15">
        <v>104854</v>
      </c>
      <c r="M167" s="15">
        <v>45379</v>
      </c>
    </row>
    <row r="168" spans="1:13" x14ac:dyDescent="0.3">
      <c r="A168" s="97" t="s">
        <v>107</v>
      </c>
      <c r="B168" s="11">
        <v>0.22084485802697246</v>
      </c>
      <c r="C168" s="12">
        <v>0.41598288622081364</v>
      </c>
      <c r="D168" s="13"/>
      <c r="E168" s="14">
        <v>0.25454329572945716</v>
      </c>
      <c r="F168" s="12">
        <v>0.37243928087916311</v>
      </c>
      <c r="G168" s="13"/>
      <c r="H168" s="14">
        <v>0.27053023364083983</v>
      </c>
      <c r="I168" s="12">
        <v>0.36694029225404312</v>
      </c>
      <c r="J168" s="13"/>
      <c r="K168" s="14">
        <v>0.29954241771999179</v>
      </c>
      <c r="L168" s="11">
        <v>0.35528653005461358</v>
      </c>
      <c r="M168" s="11">
        <v>0.31993926882957274</v>
      </c>
    </row>
    <row r="169" spans="1:13" x14ac:dyDescent="0.3">
      <c r="A169" s="98"/>
      <c r="B169" s="15">
        <v>59165</v>
      </c>
      <c r="C169" s="16">
        <v>221290</v>
      </c>
      <c r="D169" s="17"/>
      <c r="E169" s="18">
        <v>188654</v>
      </c>
      <c r="F169" s="16">
        <v>480599</v>
      </c>
      <c r="G169" s="17"/>
      <c r="H169" s="18">
        <v>213839</v>
      </c>
      <c r="I169" s="16">
        <v>455414</v>
      </c>
      <c r="J169" s="17"/>
      <c r="K169" s="18">
        <v>171314</v>
      </c>
      <c r="L169" s="15">
        <v>311026</v>
      </c>
      <c r="M169" s="15">
        <v>186913</v>
      </c>
    </row>
    <row r="170" spans="1:13" x14ac:dyDescent="0.3">
      <c r="A170" s="97" t="s">
        <v>108</v>
      </c>
      <c r="B170" s="11">
        <v>2.3878045411958804E-2</v>
      </c>
      <c r="C170" s="12">
        <v>0.18337722686848293</v>
      </c>
      <c r="D170" s="13"/>
      <c r="E170" s="14">
        <v>3.5295292296939743E-2</v>
      </c>
      <c r="F170" s="12">
        <v>0.12673423697447864</v>
      </c>
      <c r="G170" s="13"/>
      <c r="H170" s="14">
        <v>4.516195960751173E-2</v>
      </c>
      <c r="I170" s="12">
        <v>0.12408227460535391</v>
      </c>
      <c r="J170" s="13"/>
      <c r="K170" s="14">
        <v>7.6607002040498737E-2</v>
      </c>
      <c r="L170" s="11">
        <v>0.11846501634067189</v>
      </c>
      <c r="M170" s="11">
        <v>7.2196147302187208E-2</v>
      </c>
    </row>
    <row r="171" spans="1:13" x14ac:dyDescent="0.3">
      <c r="A171" s="98"/>
      <c r="B171" s="15">
        <v>6397</v>
      </c>
      <c r="C171" s="16">
        <v>97551</v>
      </c>
      <c r="D171" s="19"/>
      <c r="E171" s="18">
        <v>26159</v>
      </c>
      <c r="F171" s="16">
        <v>163539</v>
      </c>
      <c r="G171" s="19"/>
      <c r="H171" s="18">
        <v>35698</v>
      </c>
      <c r="I171" s="16">
        <v>154000</v>
      </c>
      <c r="J171" s="19"/>
      <c r="K171" s="18">
        <v>43813</v>
      </c>
      <c r="L171" s="15">
        <v>103707</v>
      </c>
      <c r="M171" s="15">
        <v>42178</v>
      </c>
    </row>
    <row r="173" spans="1:13" x14ac:dyDescent="0.3">
      <c r="A173" s="20" t="s">
        <v>118</v>
      </c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</row>
    <row r="174" spans="1:13" x14ac:dyDescent="0.3">
      <c r="A174" s="5"/>
      <c r="B174" s="8" t="s">
        <v>93</v>
      </c>
      <c r="C174" s="49" t="s">
        <v>94</v>
      </c>
      <c r="D174" s="8"/>
      <c r="E174" s="50" t="s">
        <v>95</v>
      </c>
      <c r="F174" s="49" t="s">
        <v>96</v>
      </c>
      <c r="G174" s="8"/>
      <c r="H174" s="50" t="s">
        <v>97</v>
      </c>
      <c r="I174" s="49" t="s">
        <v>98</v>
      </c>
      <c r="J174" s="8"/>
      <c r="K174" s="50" t="s">
        <v>99</v>
      </c>
      <c r="L174" s="8" t="s">
        <v>100</v>
      </c>
      <c r="M174" s="8" t="s">
        <v>101</v>
      </c>
    </row>
    <row r="175" spans="1:13" x14ac:dyDescent="0.3">
      <c r="A175" s="99" t="s">
        <v>119</v>
      </c>
      <c r="B175" s="51">
        <v>0.25063114633788347</v>
      </c>
      <c r="C175" s="51">
        <v>0.59400714579928016</v>
      </c>
      <c r="D175" s="46"/>
      <c r="E175" s="51">
        <v>0.28885554122432783</v>
      </c>
      <c r="F175" s="51">
        <v>0.48886144908112378</v>
      </c>
      <c r="G175" s="46"/>
      <c r="H175" s="51">
        <v>0.31544683369500887</v>
      </c>
      <c r="I175" s="51">
        <v>0.4845848733076859</v>
      </c>
      <c r="J175" s="46"/>
      <c r="K175" s="51">
        <v>0.37554198054875582</v>
      </c>
      <c r="L175" s="51">
        <v>0.46951103517015519</v>
      </c>
      <c r="M175" s="51">
        <v>0.38584146509881062</v>
      </c>
    </row>
    <row r="176" spans="1:13" x14ac:dyDescent="0.3">
      <c r="A176" s="100"/>
      <c r="B176" s="52">
        <v>272520</v>
      </c>
      <c r="C176" s="52">
        <v>536539</v>
      </c>
      <c r="D176" s="47"/>
      <c r="E176" s="52">
        <v>725688</v>
      </c>
      <c r="F176" s="52">
        <v>1337068</v>
      </c>
      <c r="G176" s="47"/>
      <c r="H176" s="52">
        <v>805971</v>
      </c>
      <c r="I176" s="52">
        <v>1256785</v>
      </c>
      <c r="J176" s="47"/>
      <c r="K176" s="52">
        <v>591119</v>
      </c>
      <c r="L176" s="52">
        <v>877875</v>
      </c>
      <c r="M176" s="52">
        <v>593762</v>
      </c>
    </row>
    <row r="177" spans="1:13" x14ac:dyDescent="0.3">
      <c r="A177" s="99" t="s">
        <v>120</v>
      </c>
      <c r="B177" s="51">
        <v>7.7975928372229567E-2</v>
      </c>
      <c r="C177" s="51">
        <v>0.22494357353333122</v>
      </c>
      <c r="D177" s="46"/>
      <c r="E177" s="51">
        <v>9.0935774051658563E-2</v>
      </c>
      <c r="F177" s="51">
        <v>0.17382212423003168</v>
      </c>
      <c r="G177" s="46"/>
      <c r="H177" s="51">
        <v>0.10598396220211397</v>
      </c>
      <c r="I177" s="51">
        <v>0.16946653564452155</v>
      </c>
      <c r="J177" s="46"/>
      <c r="K177" s="51">
        <v>0.14281895861916127</v>
      </c>
      <c r="L177" s="51">
        <v>0.16836793393136837</v>
      </c>
      <c r="M177" s="51">
        <v>0.11144869493163928</v>
      </c>
    </row>
    <row r="178" spans="1:13" x14ac:dyDescent="0.3">
      <c r="A178" s="100"/>
      <c r="B178" s="52">
        <v>21250</v>
      </c>
      <c r="C178" s="52">
        <v>120691</v>
      </c>
      <c r="D178" s="47"/>
      <c r="E178" s="52">
        <v>65991</v>
      </c>
      <c r="F178" s="52">
        <v>232412</v>
      </c>
      <c r="G178" s="47"/>
      <c r="H178" s="52">
        <v>85420</v>
      </c>
      <c r="I178" s="52">
        <v>212983</v>
      </c>
      <c r="J178" s="47"/>
      <c r="K178" s="52">
        <v>84423</v>
      </c>
      <c r="L178" s="52">
        <v>147806</v>
      </c>
      <c r="M178" s="52">
        <v>66174</v>
      </c>
    </row>
    <row r="179" spans="1:13" x14ac:dyDescent="0.3">
      <c r="A179" s="99" t="s">
        <v>121</v>
      </c>
      <c r="B179" s="51">
        <v>0.16556949948627625</v>
      </c>
      <c r="C179" s="51">
        <v>0.52073940570955701</v>
      </c>
      <c r="D179" s="46"/>
      <c r="E179" s="51">
        <v>0.19974286470218605</v>
      </c>
      <c r="F179" s="51">
        <v>0.40603619262445889</v>
      </c>
      <c r="G179" s="46"/>
      <c r="H179" s="51">
        <v>0.22996236837305561</v>
      </c>
      <c r="I179" s="51">
        <v>0.39983449834299423</v>
      </c>
      <c r="J179" s="46"/>
      <c r="K179" s="51">
        <v>0.30128789634574427</v>
      </c>
      <c r="L179" s="51">
        <v>0.3893082728178841</v>
      </c>
      <c r="M179" s="51">
        <v>0.28292143990353036</v>
      </c>
    </row>
    <row r="180" spans="1:13" x14ac:dyDescent="0.3">
      <c r="A180" s="100"/>
      <c r="B180" s="52">
        <v>45121</v>
      </c>
      <c r="C180" s="52">
        <v>279397</v>
      </c>
      <c r="D180" s="47"/>
      <c r="E180" s="52">
        <v>144951</v>
      </c>
      <c r="F180" s="52">
        <v>542898</v>
      </c>
      <c r="G180" s="47"/>
      <c r="H180" s="52">
        <v>185343</v>
      </c>
      <c r="I180" s="52">
        <v>502506</v>
      </c>
      <c r="J180" s="47"/>
      <c r="K180" s="52">
        <v>178097</v>
      </c>
      <c r="L180" s="52">
        <v>341764</v>
      </c>
      <c r="M180" s="52">
        <v>167988</v>
      </c>
    </row>
    <row r="181" spans="1:13" x14ac:dyDescent="0.3">
      <c r="A181" s="99" t="s">
        <v>122</v>
      </c>
      <c r="B181" s="51">
        <v>6.6318068398649635E-2</v>
      </c>
      <c r="C181" s="51">
        <v>0.21553512419414059</v>
      </c>
      <c r="D181" s="46"/>
      <c r="E181" s="51">
        <v>7.9939312762509512E-2</v>
      </c>
      <c r="F181" s="51">
        <v>0.16481884242237493</v>
      </c>
      <c r="G181" s="46"/>
      <c r="H181" s="51">
        <v>9.4565437217964413E-2</v>
      </c>
      <c r="I181" s="51">
        <v>0.16086124516126465</v>
      </c>
      <c r="J181" s="46"/>
      <c r="K181" s="51">
        <v>0.13158771753234119</v>
      </c>
      <c r="L181" s="51">
        <v>0.15859091556314966</v>
      </c>
      <c r="M181" s="51">
        <v>0.10337138449412391</v>
      </c>
    </row>
    <row r="182" spans="1:13" x14ac:dyDescent="0.3">
      <c r="A182" s="100"/>
      <c r="B182" s="52">
        <v>18073</v>
      </c>
      <c r="C182" s="52">
        <v>115643</v>
      </c>
      <c r="D182" s="48"/>
      <c r="E182" s="52">
        <v>58011</v>
      </c>
      <c r="F182" s="52">
        <v>220374</v>
      </c>
      <c r="G182" s="48"/>
      <c r="H182" s="52">
        <v>76217</v>
      </c>
      <c r="I182" s="52">
        <v>202168</v>
      </c>
      <c r="J182" s="48"/>
      <c r="K182" s="52">
        <v>77784</v>
      </c>
      <c r="L182" s="52">
        <v>139223</v>
      </c>
      <c r="M182" s="52">
        <v>61378</v>
      </c>
    </row>
    <row r="184" spans="1:13" x14ac:dyDescent="0.3">
      <c r="A184" s="20" t="s">
        <v>123</v>
      </c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</row>
    <row r="185" spans="1:13" x14ac:dyDescent="0.3">
      <c r="A185" s="5"/>
      <c r="B185" s="6" t="s">
        <v>93</v>
      </c>
      <c r="C185" s="7" t="s">
        <v>94</v>
      </c>
      <c r="D185" s="8"/>
      <c r="E185" s="9" t="s">
        <v>95</v>
      </c>
      <c r="F185" s="7" t="s">
        <v>96</v>
      </c>
      <c r="G185" s="8"/>
      <c r="H185" s="9" t="s">
        <v>97</v>
      </c>
      <c r="I185" s="7" t="s">
        <v>98</v>
      </c>
      <c r="J185" s="8"/>
      <c r="K185" s="9" t="s">
        <v>99</v>
      </c>
      <c r="L185" s="6" t="s">
        <v>100</v>
      </c>
      <c r="M185" s="6" t="s">
        <v>101</v>
      </c>
    </row>
    <row r="186" spans="1:13" x14ac:dyDescent="0.3">
      <c r="A186" s="101" t="s">
        <v>124</v>
      </c>
      <c r="B186" s="11">
        <v>0.27204705882352942</v>
      </c>
      <c r="C186" s="12">
        <v>0.21047136903331648</v>
      </c>
      <c r="D186" s="13"/>
      <c r="E186" s="14">
        <v>0.24471518843478657</v>
      </c>
      <c r="F186" s="12">
        <v>0.20882742715522434</v>
      </c>
      <c r="G186" s="13"/>
      <c r="H186" s="14">
        <v>0.24385389838445329</v>
      </c>
      <c r="I186" s="12">
        <v>0.20589906236647995</v>
      </c>
      <c r="J186" s="13"/>
      <c r="K186" s="14">
        <v>0.23917652772348769</v>
      </c>
      <c r="L186" s="11">
        <v>0.21854999120468724</v>
      </c>
      <c r="M186" s="11">
        <v>0.18418109831655938</v>
      </c>
    </row>
    <row r="187" spans="1:13" x14ac:dyDescent="0.3">
      <c r="A187" s="102"/>
      <c r="B187" s="15">
        <v>5781</v>
      </c>
      <c r="C187" s="16">
        <v>25402</v>
      </c>
      <c r="D187" s="17"/>
      <c r="E187" s="18">
        <v>16149</v>
      </c>
      <c r="F187" s="16">
        <v>48534</v>
      </c>
      <c r="G187" s="17"/>
      <c r="H187" s="18">
        <v>20830</v>
      </c>
      <c r="I187" s="16">
        <v>43853</v>
      </c>
      <c r="J187" s="17"/>
      <c r="K187" s="18">
        <v>20192</v>
      </c>
      <c r="L187" s="15">
        <v>32303</v>
      </c>
      <c r="M187" s="15">
        <v>12188</v>
      </c>
    </row>
    <row r="188" spans="1:13" x14ac:dyDescent="0.3">
      <c r="A188" s="101" t="s">
        <v>125</v>
      </c>
      <c r="B188" s="11">
        <v>0.21764705882352942</v>
      </c>
      <c r="C188" s="12">
        <v>0.13257823698535931</v>
      </c>
      <c r="D188" s="13"/>
      <c r="E188" s="14">
        <v>0.19726932460487037</v>
      </c>
      <c r="F188" s="12">
        <v>0.14501832951826929</v>
      </c>
      <c r="G188" s="13"/>
      <c r="H188" s="14">
        <v>0.19073987356590963</v>
      </c>
      <c r="I188" s="12">
        <v>0.14287055774404531</v>
      </c>
      <c r="J188" s="13"/>
      <c r="K188" s="14">
        <v>0.16029991826871823</v>
      </c>
      <c r="L188" s="11">
        <v>0.15402622356331949</v>
      </c>
      <c r="M188" s="11">
        <v>0.15750899144679179</v>
      </c>
    </row>
    <row r="189" spans="1:13" x14ac:dyDescent="0.3">
      <c r="A189" s="102"/>
      <c r="B189" s="15">
        <v>4625</v>
      </c>
      <c r="C189" s="16">
        <v>16001</v>
      </c>
      <c r="D189" s="17"/>
      <c r="E189" s="18">
        <v>13018</v>
      </c>
      <c r="F189" s="16">
        <v>33704</v>
      </c>
      <c r="G189" s="17"/>
      <c r="H189" s="18">
        <v>16293</v>
      </c>
      <c r="I189" s="16">
        <v>30429</v>
      </c>
      <c r="J189" s="17"/>
      <c r="K189" s="18">
        <v>13533</v>
      </c>
      <c r="L189" s="15">
        <v>22766</v>
      </c>
      <c r="M189" s="15">
        <v>10423</v>
      </c>
    </row>
    <row r="190" spans="1:13" x14ac:dyDescent="0.3">
      <c r="A190" s="101" t="s">
        <v>126</v>
      </c>
      <c r="B190" s="11">
        <v>0.21628235294117648</v>
      </c>
      <c r="C190" s="12">
        <v>0.2429758639832299</v>
      </c>
      <c r="D190" s="13"/>
      <c r="E190" s="14">
        <v>0.24445757754845357</v>
      </c>
      <c r="F190" s="12">
        <v>0.25250847632652357</v>
      </c>
      <c r="G190" s="13"/>
      <c r="H190" s="14">
        <v>0.24126668227581363</v>
      </c>
      <c r="I190" s="12">
        <v>0.25452266143307212</v>
      </c>
      <c r="J190" s="13"/>
      <c r="K190" s="14">
        <v>0.23788541037395022</v>
      </c>
      <c r="L190" s="11">
        <v>0.2398481793702556</v>
      </c>
      <c r="M190" s="11">
        <v>0.29141354610572129</v>
      </c>
    </row>
    <row r="191" spans="1:13" x14ac:dyDescent="0.3">
      <c r="A191" s="102"/>
      <c r="B191" s="15">
        <v>4596</v>
      </c>
      <c r="C191" s="16">
        <v>29325</v>
      </c>
      <c r="D191" s="17"/>
      <c r="E191" s="18">
        <v>16132</v>
      </c>
      <c r="F191" s="16">
        <v>58686</v>
      </c>
      <c r="G191" s="17"/>
      <c r="H191" s="18">
        <v>20609</v>
      </c>
      <c r="I191" s="16">
        <v>54209</v>
      </c>
      <c r="J191" s="17"/>
      <c r="K191" s="18">
        <v>20083</v>
      </c>
      <c r="L191" s="15">
        <v>35451</v>
      </c>
      <c r="M191" s="15">
        <v>19284</v>
      </c>
    </row>
    <row r="192" spans="1:13" x14ac:dyDescent="0.3">
      <c r="A192" s="101" t="s">
        <v>127</v>
      </c>
      <c r="B192" s="11">
        <v>0.11430588235294117</v>
      </c>
      <c r="C192" s="12">
        <v>0.19761208375106679</v>
      </c>
      <c r="D192" s="13"/>
      <c r="E192" s="14">
        <v>0.13195738812868421</v>
      </c>
      <c r="F192" s="12">
        <v>0.18473658847219593</v>
      </c>
      <c r="G192" s="13"/>
      <c r="H192" s="14">
        <v>0.13894872395223601</v>
      </c>
      <c r="I192" s="12">
        <v>0.18674729908020829</v>
      </c>
      <c r="J192" s="13"/>
      <c r="K192" s="14">
        <v>0.15718465347121044</v>
      </c>
      <c r="L192" s="11">
        <v>0.18149466192170818</v>
      </c>
      <c r="M192" s="11">
        <v>0.17449451446187325</v>
      </c>
    </row>
    <row r="193" spans="1:13" x14ac:dyDescent="0.3">
      <c r="A193" s="102"/>
      <c r="B193" s="15">
        <v>2429</v>
      </c>
      <c r="C193" s="16">
        <v>23850</v>
      </c>
      <c r="D193" s="17"/>
      <c r="E193" s="18">
        <v>8708</v>
      </c>
      <c r="F193" s="16">
        <v>42935</v>
      </c>
      <c r="G193" s="17"/>
      <c r="H193" s="18">
        <v>11869</v>
      </c>
      <c r="I193" s="16">
        <v>39774</v>
      </c>
      <c r="J193" s="17"/>
      <c r="K193" s="18">
        <v>13270</v>
      </c>
      <c r="L193" s="15">
        <v>26826</v>
      </c>
      <c r="M193" s="15">
        <v>11547</v>
      </c>
    </row>
    <row r="194" spans="1:13" x14ac:dyDescent="0.3">
      <c r="A194" s="101" t="s">
        <v>128</v>
      </c>
      <c r="B194" s="11">
        <v>0.11397647058823529</v>
      </c>
      <c r="C194" s="12">
        <v>0.13448393003620818</v>
      </c>
      <c r="D194" s="13"/>
      <c r="E194" s="14">
        <v>0.11366701519904229</v>
      </c>
      <c r="F194" s="12">
        <v>0.12805707106345626</v>
      </c>
      <c r="G194" s="13"/>
      <c r="H194" s="14">
        <v>0.11745492858815265</v>
      </c>
      <c r="I194" s="12">
        <v>0.12785057962372584</v>
      </c>
      <c r="J194" s="13"/>
      <c r="K194" s="14">
        <v>0.12856685974201343</v>
      </c>
      <c r="L194" s="11">
        <v>0.12775530086735315</v>
      </c>
      <c r="M194" s="11">
        <v>0.11373046815970018</v>
      </c>
    </row>
    <row r="195" spans="1:13" x14ac:dyDescent="0.3">
      <c r="A195" s="102"/>
      <c r="B195" s="15">
        <v>2422</v>
      </c>
      <c r="C195" s="16">
        <v>16231</v>
      </c>
      <c r="D195" s="17"/>
      <c r="E195" s="18">
        <v>7501</v>
      </c>
      <c r="F195" s="16">
        <v>29762</v>
      </c>
      <c r="G195" s="17"/>
      <c r="H195" s="18">
        <v>10033</v>
      </c>
      <c r="I195" s="16">
        <v>27230</v>
      </c>
      <c r="J195" s="17"/>
      <c r="K195" s="18">
        <v>10854</v>
      </c>
      <c r="L195" s="15">
        <v>18883</v>
      </c>
      <c r="M195" s="15">
        <v>7526</v>
      </c>
    </row>
    <row r="196" spans="1:13" x14ac:dyDescent="0.3">
      <c r="A196" s="101" t="s">
        <v>129</v>
      </c>
      <c r="B196" s="11">
        <v>3.2658823529411768E-2</v>
      </c>
      <c r="C196" s="12">
        <v>4.0698975068563521E-2</v>
      </c>
      <c r="D196" s="13"/>
      <c r="E196" s="14">
        <v>3.0579927565880197E-2</v>
      </c>
      <c r="F196" s="12">
        <v>3.8457566734936235E-2</v>
      </c>
      <c r="G196" s="13"/>
      <c r="H196" s="14">
        <v>3.0519784593771949E-2</v>
      </c>
      <c r="I196" s="12">
        <v>3.9200311761971612E-2</v>
      </c>
      <c r="J196" s="13"/>
      <c r="K196" s="14">
        <v>3.6127595560451538E-2</v>
      </c>
      <c r="L196" s="11">
        <v>3.8131063691595739E-2</v>
      </c>
      <c r="M196" s="11">
        <v>3.4303502886329981E-2</v>
      </c>
    </row>
    <row r="197" spans="1:13" x14ac:dyDescent="0.3">
      <c r="A197" s="102"/>
      <c r="B197" s="15">
        <v>694</v>
      </c>
      <c r="C197" s="16">
        <v>4912</v>
      </c>
      <c r="D197" s="17"/>
      <c r="E197" s="18">
        <v>2018</v>
      </c>
      <c r="F197" s="16">
        <v>8938</v>
      </c>
      <c r="G197" s="17"/>
      <c r="H197" s="18">
        <v>2607</v>
      </c>
      <c r="I197" s="16">
        <v>8349</v>
      </c>
      <c r="J197" s="17"/>
      <c r="K197" s="18">
        <v>3050</v>
      </c>
      <c r="L197" s="15">
        <v>5636</v>
      </c>
      <c r="M197" s="15">
        <v>2270</v>
      </c>
    </row>
    <row r="198" spans="1:13" x14ac:dyDescent="0.3">
      <c r="A198" s="101" t="s">
        <v>130</v>
      </c>
      <c r="B198" s="11">
        <v>2.8705882352941175E-2</v>
      </c>
      <c r="C198" s="12">
        <v>3.2794491718520849E-2</v>
      </c>
      <c r="D198" s="13"/>
      <c r="E198" s="14">
        <v>3.1216377990938158E-2</v>
      </c>
      <c r="F198" s="12">
        <v>3.3759014164500972E-2</v>
      </c>
      <c r="G198" s="13"/>
      <c r="H198" s="14">
        <v>3.1315851088738002E-2</v>
      </c>
      <c r="I198" s="12">
        <v>3.3951066517045964E-2</v>
      </c>
      <c r="J198" s="13"/>
      <c r="K198" s="14">
        <v>3.3924404486928919E-2</v>
      </c>
      <c r="L198" s="11">
        <v>3.2481766640055205E-2</v>
      </c>
      <c r="M198" s="11">
        <v>3.3865264303200651E-2</v>
      </c>
    </row>
    <row r="199" spans="1:13" x14ac:dyDescent="0.3">
      <c r="A199" s="102"/>
      <c r="B199" s="15">
        <v>610</v>
      </c>
      <c r="C199" s="16">
        <v>3958</v>
      </c>
      <c r="D199" s="17"/>
      <c r="E199" s="18">
        <v>2060</v>
      </c>
      <c r="F199" s="16">
        <v>7846</v>
      </c>
      <c r="G199" s="17"/>
      <c r="H199" s="18">
        <v>2675</v>
      </c>
      <c r="I199" s="16">
        <v>7231</v>
      </c>
      <c r="J199" s="17"/>
      <c r="K199" s="18">
        <v>2864</v>
      </c>
      <c r="L199" s="15">
        <v>4801</v>
      </c>
      <c r="M199" s="15">
        <v>2241</v>
      </c>
    </row>
    <row r="200" spans="1:13" x14ac:dyDescent="0.3">
      <c r="A200" s="101" t="s">
        <v>131</v>
      </c>
      <c r="B200" s="11">
        <v>4.3764705882352942E-3</v>
      </c>
      <c r="C200" s="12">
        <v>8.3850494237349919E-3</v>
      </c>
      <c r="D200" s="13"/>
      <c r="E200" s="14">
        <v>6.1372005273446382E-3</v>
      </c>
      <c r="F200" s="12">
        <v>8.6355265648933796E-3</v>
      </c>
      <c r="G200" s="13"/>
      <c r="H200" s="14">
        <v>5.9002575509248421E-3</v>
      </c>
      <c r="I200" s="12">
        <v>8.9584614734509321E-3</v>
      </c>
      <c r="J200" s="13"/>
      <c r="K200" s="14">
        <v>6.8346303732395204E-3</v>
      </c>
      <c r="L200" s="11">
        <v>7.7128127410253985E-3</v>
      </c>
      <c r="M200" s="11">
        <v>1.0502614319823496E-2</v>
      </c>
    </row>
    <row r="201" spans="1:13" x14ac:dyDescent="0.3">
      <c r="A201" s="102"/>
      <c r="B201" s="15">
        <v>93</v>
      </c>
      <c r="C201" s="16">
        <v>1012</v>
      </c>
      <c r="D201" s="17"/>
      <c r="E201" s="18">
        <v>405</v>
      </c>
      <c r="F201" s="16">
        <v>2007</v>
      </c>
      <c r="G201" s="17"/>
      <c r="H201" s="18">
        <v>504</v>
      </c>
      <c r="I201" s="16">
        <v>1908</v>
      </c>
      <c r="J201" s="17"/>
      <c r="K201" s="18">
        <v>577</v>
      </c>
      <c r="L201" s="15">
        <v>1140</v>
      </c>
      <c r="M201" s="15">
        <v>695</v>
      </c>
    </row>
    <row r="203" spans="1:13" x14ac:dyDescent="0.3">
      <c r="A203" s="20" t="s">
        <v>132</v>
      </c>
      <c r="B203" s="20"/>
      <c r="C203" s="20"/>
      <c r="D203" s="20"/>
      <c r="E203" s="20"/>
      <c r="F203" s="20"/>
    </row>
    <row r="204" spans="1:13" s="27" customFormat="1" ht="28.8" x14ac:dyDescent="0.3">
      <c r="A204" s="21"/>
      <c r="B204" s="22" t="s">
        <v>133</v>
      </c>
      <c r="C204" s="23" t="s">
        <v>134</v>
      </c>
      <c r="D204" s="24"/>
      <c r="E204" s="25" t="s">
        <v>135</v>
      </c>
      <c r="F204" s="82" t="s">
        <v>136</v>
      </c>
      <c r="G204" s="26"/>
    </row>
    <row r="205" spans="1:13" x14ac:dyDescent="0.3">
      <c r="A205" s="97" t="s">
        <v>102</v>
      </c>
      <c r="B205" s="11">
        <v>0.52105815669066369</v>
      </c>
      <c r="C205" s="12">
        <v>0.52968097396249891</v>
      </c>
      <c r="D205" s="13"/>
      <c r="E205" s="14">
        <v>0.60434261870725958</v>
      </c>
      <c r="F205" s="11">
        <v>0.66463286049682979</v>
      </c>
      <c r="G205" s="28"/>
    </row>
    <row r="206" spans="1:13" x14ac:dyDescent="0.3">
      <c r="A206" s="98"/>
      <c r="B206" s="15">
        <v>328090</v>
      </c>
      <c r="C206" s="16">
        <v>95368</v>
      </c>
      <c r="D206" s="17"/>
      <c r="E206" s="18">
        <v>156422</v>
      </c>
      <c r="F206" s="15">
        <v>614588</v>
      </c>
      <c r="G206" s="29"/>
    </row>
    <row r="207" spans="1:13" x14ac:dyDescent="0.3">
      <c r="A207" s="97" t="s">
        <v>103</v>
      </c>
      <c r="B207" s="11">
        <v>0.29877505514872288</v>
      </c>
      <c r="C207" s="12">
        <v>0.30540189282857905</v>
      </c>
      <c r="D207" s="13"/>
      <c r="E207" s="14">
        <v>0.41084495614882355</v>
      </c>
      <c r="F207" s="11">
        <v>0.50651182055211241</v>
      </c>
      <c r="G207" s="28"/>
    </row>
    <row r="208" spans="1:13" x14ac:dyDescent="0.3">
      <c r="A208" s="98"/>
      <c r="B208" s="15">
        <v>188127</v>
      </c>
      <c r="C208" s="16">
        <v>54987</v>
      </c>
      <c r="D208" s="17"/>
      <c r="E208" s="18">
        <v>106339</v>
      </c>
      <c r="F208" s="15">
        <v>468373</v>
      </c>
      <c r="G208" s="29"/>
    </row>
    <row r="209" spans="1:7" x14ac:dyDescent="0.3">
      <c r="A209" s="97" t="s">
        <v>104</v>
      </c>
      <c r="B209" s="11">
        <v>0.22228310154194081</v>
      </c>
      <c r="C209" s="12">
        <v>0.22427908113391984</v>
      </c>
      <c r="D209" s="13"/>
      <c r="E209" s="14">
        <v>0.19349766255843603</v>
      </c>
      <c r="F209" s="11">
        <v>0.15812103994471738</v>
      </c>
      <c r="G209" s="28"/>
    </row>
    <row r="210" spans="1:7" x14ac:dyDescent="0.3">
      <c r="A210" s="98"/>
      <c r="B210" s="15">
        <v>139963</v>
      </c>
      <c r="C210" s="16">
        <v>40381</v>
      </c>
      <c r="D210" s="17"/>
      <c r="E210" s="18">
        <v>50083</v>
      </c>
      <c r="F210" s="15">
        <v>146215</v>
      </c>
      <c r="G210" s="29"/>
    </row>
    <row r="211" spans="1:7" x14ac:dyDescent="0.3">
      <c r="A211" s="97" t="s">
        <v>105</v>
      </c>
      <c r="B211" s="11">
        <v>0.45654407689216897</v>
      </c>
      <c r="C211" s="12">
        <v>0.45450102194970232</v>
      </c>
      <c r="D211" s="13"/>
      <c r="E211" s="14">
        <v>0.50889000502260173</v>
      </c>
      <c r="F211" s="11">
        <v>0.51954086879787353</v>
      </c>
      <c r="G211" s="28"/>
    </row>
    <row r="212" spans="1:7" x14ac:dyDescent="0.3">
      <c r="A212" s="98"/>
      <c r="B212" s="15">
        <v>287468</v>
      </c>
      <c r="C212" s="16">
        <v>81832</v>
      </c>
      <c r="D212" s="17"/>
      <c r="E212" s="18">
        <v>131716</v>
      </c>
      <c r="F212" s="15">
        <v>480421</v>
      </c>
      <c r="G212" s="29"/>
    </row>
    <row r="213" spans="1:7" x14ac:dyDescent="0.3">
      <c r="A213" s="97" t="s">
        <v>106</v>
      </c>
      <c r="B213" s="11">
        <v>6.4514079798494744E-2</v>
      </c>
      <c r="C213" s="12">
        <v>7.5179952012796591E-2</v>
      </c>
      <c r="D213" s="13"/>
      <c r="E213" s="14">
        <v>9.5452613684657878E-2</v>
      </c>
      <c r="F213" s="11">
        <v>0.14509199169895631</v>
      </c>
      <c r="G213" s="28"/>
    </row>
    <row r="214" spans="1:7" x14ac:dyDescent="0.3">
      <c r="A214" s="98"/>
      <c r="B214" s="15">
        <v>40622</v>
      </c>
      <c r="C214" s="16">
        <v>13536</v>
      </c>
      <c r="D214" s="17"/>
      <c r="E214" s="18">
        <v>24706</v>
      </c>
      <c r="F214" s="15">
        <v>134167</v>
      </c>
      <c r="G214" s="29"/>
    </row>
    <row r="215" spans="1:7" x14ac:dyDescent="0.3">
      <c r="A215" s="97" t="s">
        <v>107</v>
      </c>
      <c r="B215" s="11">
        <v>0.4684076034564631</v>
      </c>
      <c r="C215" s="12">
        <v>0.47196858615480314</v>
      </c>
      <c r="D215" s="13"/>
      <c r="E215" s="14">
        <v>0.50188927095004443</v>
      </c>
      <c r="F215" s="11">
        <v>0.48789611367109226</v>
      </c>
      <c r="G215" s="28"/>
    </row>
    <row r="216" spans="1:7" x14ac:dyDescent="0.3">
      <c r="A216" s="98"/>
      <c r="B216" s="15">
        <v>294938</v>
      </c>
      <c r="C216" s="16">
        <v>84977</v>
      </c>
      <c r="D216" s="17"/>
      <c r="E216" s="18">
        <v>129904</v>
      </c>
      <c r="F216" s="15">
        <v>451159</v>
      </c>
      <c r="G216" s="29"/>
    </row>
    <row r="217" spans="1:7" x14ac:dyDescent="0.3">
      <c r="A217" s="97" t="s">
        <v>108</v>
      </c>
      <c r="B217" s="11">
        <v>5.2650553234200627E-2</v>
      </c>
      <c r="C217" s="12">
        <v>5.7712387807695727E-2</v>
      </c>
      <c r="D217" s="13"/>
      <c r="E217" s="14">
        <v>0.10245334775721517</v>
      </c>
      <c r="F217" s="11">
        <v>0.17673674682573756</v>
      </c>
      <c r="G217" s="28"/>
    </row>
    <row r="218" spans="1:7" x14ac:dyDescent="0.3">
      <c r="A218" s="98"/>
      <c r="B218" s="15">
        <v>33152</v>
      </c>
      <c r="C218" s="16">
        <v>10391</v>
      </c>
      <c r="D218" s="17"/>
      <c r="E218" s="18">
        <v>26518</v>
      </c>
      <c r="F218" s="15">
        <v>163429</v>
      </c>
      <c r="G218" s="29"/>
    </row>
    <row r="220" spans="1:7" ht="14.4" customHeight="1" x14ac:dyDescent="0.3">
      <c r="A220" s="20" t="s">
        <v>137</v>
      </c>
      <c r="B220" s="20"/>
      <c r="C220" s="20"/>
      <c r="D220" s="20"/>
      <c r="E220" s="20"/>
      <c r="F220" s="20"/>
    </row>
    <row r="221" spans="1:7" s="27" customFormat="1" ht="28.8" x14ac:dyDescent="0.3">
      <c r="A221" s="21"/>
      <c r="B221" s="22" t="s">
        <v>133</v>
      </c>
      <c r="C221" s="23" t="s">
        <v>134</v>
      </c>
      <c r="D221" s="24"/>
      <c r="E221" s="25" t="s">
        <v>135</v>
      </c>
      <c r="F221" s="82" t="s">
        <v>136</v>
      </c>
      <c r="G221" s="26"/>
    </row>
    <row r="222" spans="1:7" x14ac:dyDescent="0.3">
      <c r="A222" s="97" t="s">
        <v>102</v>
      </c>
      <c r="B222" s="11">
        <v>0.78285339026874057</v>
      </c>
      <c r="C222" s="12">
        <v>0.78487056355908813</v>
      </c>
      <c r="D222" s="13"/>
      <c r="E222" s="14">
        <v>0.83220160433416479</v>
      </c>
      <c r="F222" s="11">
        <v>0.87724620492732108</v>
      </c>
      <c r="G222" s="28"/>
    </row>
    <row r="223" spans="1:7" x14ac:dyDescent="0.3">
      <c r="A223" s="98"/>
      <c r="B223" s="15">
        <v>246764</v>
      </c>
      <c r="C223" s="16">
        <v>56878</v>
      </c>
      <c r="D223" s="17"/>
      <c r="E223" s="18">
        <v>182486</v>
      </c>
      <c r="F223" s="15">
        <v>664221</v>
      </c>
      <c r="G223" s="29"/>
    </row>
    <row r="224" spans="1:7" x14ac:dyDescent="0.3">
      <c r="A224" s="97" t="s">
        <v>103</v>
      </c>
      <c r="B224" s="11">
        <v>0.85089629461874816</v>
      </c>
      <c r="C224" s="12">
        <v>0.85791553983773661</v>
      </c>
      <c r="D224" s="13"/>
      <c r="E224" s="14">
        <v>0.89139875248533917</v>
      </c>
      <c r="F224" s="11">
        <v>0.92614402385860017</v>
      </c>
      <c r="G224" s="28"/>
    </row>
    <row r="225" spans="1:7" x14ac:dyDescent="0.3">
      <c r="A225" s="98"/>
      <c r="B225" s="15">
        <v>146532</v>
      </c>
      <c r="C225" s="16">
        <v>32992</v>
      </c>
      <c r="D225" s="17"/>
      <c r="E225" s="18">
        <v>124187</v>
      </c>
      <c r="F225" s="15">
        <v>511777</v>
      </c>
      <c r="G225" s="29"/>
    </row>
    <row r="226" spans="1:7" x14ac:dyDescent="0.3">
      <c r="A226" s="97" t="s">
        <v>104</v>
      </c>
      <c r="B226" s="11">
        <v>0.70108558798019083</v>
      </c>
      <c r="C226" s="12">
        <v>0.70228154768905093</v>
      </c>
      <c r="D226" s="13"/>
      <c r="E226" s="14">
        <v>0.72908381481203577</v>
      </c>
      <c r="F226" s="11">
        <v>0.74518142667898501</v>
      </c>
      <c r="G226" s="28"/>
    </row>
    <row r="227" spans="1:7" x14ac:dyDescent="0.3">
      <c r="A227" s="98"/>
      <c r="B227" s="15">
        <v>100230</v>
      </c>
      <c r="C227" s="16">
        <v>23886</v>
      </c>
      <c r="D227" s="17"/>
      <c r="E227" s="18">
        <v>58299</v>
      </c>
      <c r="F227" s="15">
        <v>152444</v>
      </c>
      <c r="G227" s="29"/>
    </row>
    <row r="228" spans="1:7" x14ac:dyDescent="0.3">
      <c r="A228" s="97" t="s">
        <v>105</v>
      </c>
      <c r="B228" s="11">
        <v>0.77771953382497616</v>
      </c>
      <c r="C228" s="12">
        <v>0.77620175871006725</v>
      </c>
      <c r="D228" s="13"/>
      <c r="E228" s="14">
        <v>0.82470718884883232</v>
      </c>
      <c r="F228" s="11">
        <v>0.86300834048464836</v>
      </c>
      <c r="G228" s="28"/>
    </row>
    <row r="229" spans="1:7" x14ac:dyDescent="0.3">
      <c r="A229" s="98"/>
      <c r="B229" s="15">
        <v>216612</v>
      </c>
      <c r="C229" s="16">
        <v>48813</v>
      </c>
      <c r="D229" s="17"/>
      <c r="E229" s="18">
        <v>150754</v>
      </c>
      <c r="F229" s="15">
        <v>511877</v>
      </c>
      <c r="G229" s="29"/>
    </row>
    <row r="230" spans="1:7" x14ac:dyDescent="0.3">
      <c r="A230" s="97" t="s">
        <v>106</v>
      </c>
      <c r="B230" s="11">
        <v>0.82182670555207282</v>
      </c>
      <c r="C230" s="12">
        <v>0.84177017012837907</v>
      </c>
      <c r="D230" s="13"/>
      <c r="E230" s="14">
        <v>0.86975112378028729</v>
      </c>
      <c r="F230" s="11">
        <v>0.92872862498856956</v>
      </c>
      <c r="G230" s="28"/>
    </row>
    <row r="231" spans="1:7" x14ac:dyDescent="0.3">
      <c r="A231" s="98"/>
      <c r="B231" s="15">
        <v>30152</v>
      </c>
      <c r="C231" s="16">
        <v>8065</v>
      </c>
      <c r="D231" s="17"/>
      <c r="E231" s="18">
        <v>31732</v>
      </c>
      <c r="F231" s="15">
        <v>152344</v>
      </c>
      <c r="G231" s="29"/>
    </row>
    <row r="232" spans="1:7" x14ac:dyDescent="0.3">
      <c r="A232" s="97" t="s">
        <v>107</v>
      </c>
      <c r="B232" s="11">
        <v>0.77870046981650565</v>
      </c>
      <c r="C232" s="12">
        <v>0.78126499218471923</v>
      </c>
      <c r="D232" s="13"/>
      <c r="E232" s="14">
        <v>0.82268371480268732</v>
      </c>
      <c r="F232" s="11">
        <v>0.85925552279881223</v>
      </c>
      <c r="G232" s="28"/>
    </row>
    <row r="233" spans="1:7" x14ac:dyDescent="0.3">
      <c r="A233" s="98"/>
      <c r="B233" s="15">
        <v>219613</v>
      </c>
      <c r="C233" s="16">
        <v>50483</v>
      </c>
      <c r="D233" s="17"/>
      <c r="E233" s="18">
        <v>150496</v>
      </c>
      <c r="F233" s="15">
        <v>482075</v>
      </c>
      <c r="G233" s="29"/>
    </row>
    <row r="234" spans="1:7" x14ac:dyDescent="0.3">
      <c r="A234" s="97" t="s">
        <v>108</v>
      </c>
      <c r="B234" s="11">
        <v>0.81814620623154344</v>
      </c>
      <c r="C234" s="12">
        <v>0.81454591771748819</v>
      </c>
      <c r="D234" s="13"/>
      <c r="E234" s="14">
        <v>0.88010344448112687</v>
      </c>
      <c r="F234" s="11">
        <v>0.92870982215695874</v>
      </c>
      <c r="G234" s="28"/>
    </row>
    <row r="235" spans="1:7" x14ac:dyDescent="0.3">
      <c r="A235" s="98"/>
      <c r="B235" s="15">
        <v>27151</v>
      </c>
      <c r="C235" s="16">
        <v>6395</v>
      </c>
      <c r="D235" s="17"/>
      <c r="E235" s="18">
        <v>31990</v>
      </c>
      <c r="F235" s="15">
        <v>182146</v>
      </c>
      <c r="G235" s="29"/>
    </row>
    <row r="237" spans="1:7" ht="14.4" customHeight="1" x14ac:dyDescent="0.3">
      <c r="A237" s="20" t="s">
        <v>138</v>
      </c>
      <c r="B237" s="20"/>
      <c r="C237" s="20"/>
      <c r="D237" s="20"/>
      <c r="E237" s="20"/>
      <c r="F237" s="20"/>
    </row>
    <row r="238" spans="1:7" s="27" customFormat="1" ht="28.8" x14ac:dyDescent="0.3">
      <c r="A238" s="21"/>
      <c r="B238" s="22" t="s">
        <v>133</v>
      </c>
      <c r="C238" s="23" t="s">
        <v>134</v>
      </c>
      <c r="D238" s="24"/>
      <c r="E238" s="25" t="s">
        <v>135</v>
      </c>
      <c r="F238" s="82" t="s">
        <v>136</v>
      </c>
      <c r="G238" s="26"/>
    </row>
    <row r="239" spans="1:7" x14ac:dyDescent="0.3">
      <c r="A239" s="97" t="s">
        <v>102</v>
      </c>
      <c r="B239" s="11">
        <v>0.28254278763265095</v>
      </c>
      <c r="C239" s="12">
        <v>0.310938381340226</v>
      </c>
      <c r="D239" s="13"/>
      <c r="E239" s="14">
        <v>0.39230342612596952</v>
      </c>
      <c r="F239" s="11">
        <v>0.51015834530705995</v>
      </c>
      <c r="G239" s="28"/>
    </row>
    <row r="240" spans="1:7" x14ac:dyDescent="0.3">
      <c r="A240" s="98"/>
      <c r="B240" s="15">
        <v>159455</v>
      </c>
      <c r="C240" s="16">
        <v>50164</v>
      </c>
      <c r="D240" s="17"/>
      <c r="E240" s="18">
        <v>94786</v>
      </c>
      <c r="F240" s="15">
        <v>558855</v>
      </c>
      <c r="G240" s="29"/>
    </row>
    <row r="241" spans="1:7" x14ac:dyDescent="0.3">
      <c r="A241" s="97" t="s">
        <v>103</v>
      </c>
      <c r="B241" s="11">
        <v>0.19021824837824286</v>
      </c>
      <c r="C241" s="12">
        <v>0.20786457655379315</v>
      </c>
      <c r="D241" s="13"/>
      <c r="E241" s="14">
        <v>0.29959770543097669</v>
      </c>
      <c r="F241" s="11">
        <v>0.41992452444374662</v>
      </c>
      <c r="G241" s="28"/>
    </row>
    <row r="242" spans="1:7" x14ac:dyDescent="0.3">
      <c r="A242" s="98"/>
      <c r="B242" s="15">
        <v>107351</v>
      </c>
      <c r="C242" s="16">
        <v>33535</v>
      </c>
      <c r="D242" s="17"/>
      <c r="E242" s="18">
        <v>72387</v>
      </c>
      <c r="F242" s="15">
        <v>460008</v>
      </c>
      <c r="G242" s="29"/>
    </row>
    <row r="243" spans="1:7" x14ac:dyDescent="0.3">
      <c r="A243" s="97" t="s">
        <v>104</v>
      </c>
      <c r="B243" s="11">
        <v>9.2032171125723608E-2</v>
      </c>
      <c r="C243" s="12">
        <v>0.10304901103941586</v>
      </c>
      <c r="D243" s="13"/>
      <c r="E243" s="14">
        <v>9.2651915865802473E-2</v>
      </c>
      <c r="F243" s="11">
        <v>9.021099927518636E-2</v>
      </c>
      <c r="G243" s="28"/>
    </row>
    <row r="244" spans="1:7" x14ac:dyDescent="0.3">
      <c r="A244" s="98"/>
      <c r="B244" s="15">
        <v>51939</v>
      </c>
      <c r="C244" s="16">
        <v>16625</v>
      </c>
      <c r="D244" s="17"/>
      <c r="E244" s="18">
        <v>22386</v>
      </c>
      <c r="F244" s="15">
        <v>98822</v>
      </c>
      <c r="G244" s="29"/>
    </row>
    <row r="245" spans="1:7" x14ac:dyDescent="0.3">
      <c r="A245" s="97" t="s">
        <v>105</v>
      </c>
      <c r="B245" s="11">
        <v>0.23775730610234302</v>
      </c>
      <c r="C245" s="12">
        <v>0.2543094631533927</v>
      </c>
      <c r="D245" s="13"/>
      <c r="E245" s="14">
        <v>0.31717946807718095</v>
      </c>
      <c r="F245" s="11">
        <v>0.38135330191865657</v>
      </c>
      <c r="G245" s="28"/>
    </row>
    <row r="246" spans="1:7" x14ac:dyDescent="0.3">
      <c r="A246" s="98"/>
      <c r="B246" s="15">
        <v>134180</v>
      </c>
      <c r="C246" s="16">
        <v>41028</v>
      </c>
      <c r="D246" s="17"/>
      <c r="E246" s="18">
        <v>76635</v>
      </c>
      <c r="F246" s="15">
        <v>417755</v>
      </c>
      <c r="G246" s="29"/>
    </row>
    <row r="247" spans="1:7" x14ac:dyDescent="0.3">
      <c r="A247" s="97" t="s">
        <v>106</v>
      </c>
      <c r="B247" s="11">
        <v>4.4785481530307945E-2</v>
      </c>
      <c r="C247" s="12">
        <v>5.6628918186833278E-2</v>
      </c>
      <c r="D247" s="13"/>
      <c r="E247" s="14">
        <v>7.5123958048788561E-2</v>
      </c>
      <c r="F247" s="11">
        <v>0.12880504338840335</v>
      </c>
      <c r="G247" s="28"/>
    </row>
    <row r="248" spans="1:7" x14ac:dyDescent="0.3">
      <c r="A248" s="98"/>
      <c r="B248" s="15">
        <v>25275</v>
      </c>
      <c r="C248" s="16">
        <v>9136</v>
      </c>
      <c r="D248" s="17"/>
      <c r="E248" s="18">
        <v>18151</v>
      </c>
      <c r="F248" s="15">
        <v>141100</v>
      </c>
      <c r="G248" s="29"/>
    </row>
    <row r="249" spans="1:7" x14ac:dyDescent="0.3">
      <c r="A249" s="97" t="s">
        <v>107</v>
      </c>
      <c r="B249" s="11">
        <v>0.24926066302003874</v>
      </c>
      <c r="C249" s="12">
        <v>0.26994192064761269</v>
      </c>
      <c r="D249" s="13"/>
      <c r="E249" s="14">
        <v>0.31972485038118653</v>
      </c>
      <c r="F249" s="11">
        <v>0.37499155601239303</v>
      </c>
      <c r="G249" s="28"/>
    </row>
    <row r="250" spans="1:7" x14ac:dyDescent="0.3">
      <c r="A250" s="98"/>
      <c r="B250" s="15">
        <v>140672</v>
      </c>
      <c r="C250" s="16">
        <v>43550</v>
      </c>
      <c r="D250" s="17"/>
      <c r="E250" s="18">
        <v>77250</v>
      </c>
      <c r="F250" s="15">
        <v>410786</v>
      </c>
      <c r="G250" s="29"/>
    </row>
    <row r="251" spans="1:7" x14ac:dyDescent="0.3">
      <c r="A251" s="97" t="s">
        <v>108</v>
      </c>
      <c r="B251" s="11">
        <v>3.3282124612612228E-2</v>
      </c>
      <c r="C251" s="12">
        <v>4.0996460692613326E-2</v>
      </c>
      <c r="D251" s="13"/>
      <c r="E251" s="14">
        <v>7.2578575744783005E-2</v>
      </c>
      <c r="F251" s="11">
        <v>0.13516678929466686</v>
      </c>
      <c r="G251" s="28"/>
    </row>
    <row r="252" spans="1:7" x14ac:dyDescent="0.3">
      <c r="A252" s="98"/>
      <c r="B252" s="15">
        <v>18783</v>
      </c>
      <c r="C252" s="16">
        <v>6614</v>
      </c>
      <c r="D252" s="17"/>
      <c r="E252" s="18">
        <v>17536</v>
      </c>
      <c r="F252" s="15">
        <v>148069</v>
      </c>
      <c r="G252" s="29"/>
    </row>
  </sheetData>
  <mergeCells count="103">
    <mergeCell ref="A241:A242"/>
    <mergeCell ref="A243:A244"/>
    <mergeCell ref="A245:A246"/>
    <mergeCell ref="A247:A248"/>
    <mergeCell ref="A249:A250"/>
    <mergeCell ref="A251:A252"/>
    <mergeCell ref="A209:A210"/>
    <mergeCell ref="A211:A212"/>
    <mergeCell ref="A213:A214"/>
    <mergeCell ref="A215:A216"/>
    <mergeCell ref="A217:A218"/>
    <mergeCell ref="A239:A240"/>
    <mergeCell ref="A222:A223"/>
    <mergeCell ref="A224:A225"/>
    <mergeCell ref="A226:A227"/>
    <mergeCell ref="A228:A229"/>
    <mergeCell ref="A230:A231"/>
    <mergeCell ref="A232:A233"/>
    <mergeCell ref="A234:A235"/>
    <mergeCell ref="A194:A195"/>
    <mergeCell ref="A196:A197"/>
    <mergeCell ref="A198:A199"/>
    <mergeCell ref="A200:A201"/>
    <mergeCell ref="A205:A206"/>
    <mergeCell ref="A207:A208"/>
    <mergeCell ref="A179:A180"/>
    <mergeCell ref="A181:A182"/>
    <mergeCell ref="A186:A187"/>
    <mergeCell ref="A188:A189"/>
    <mergeCell ref="A190:A191"/>
    <mergeCell ref="A192:A193"/>
    <mergeCell ref="A164:A165"/>
    <mergeCell ref="A166:A167"/>
    <mergeCell ref="A168:A169"/>
    <mergeCell ref="A170:A171"/>
    <mergeCell ref="A175:A176"/>
    <mergeCell ref="A177:A178"/>
    <mergeCell ref="A149:A150"/>
    <mergeCell ref="A151:A152"/>
    <mergeCell ref="A153:A154"/>
    <mergeCell ref="A158:A159"/>
    <mergeCell ref="A160:A161"/>
    <mergeCell ref="A162:A163"/>
    <mergeCell ref="A134:A135"/>
    <mergeCell ref="A136:A137"/>
    <mergeCell ref="A141:A142"/>
    <mergeCell ref="A143:A144"/>
    <mergeCell ref="A145:A146"/>
    <mergeCell ref="A147:A148"/>
    <mergeCell ref="A119:A120"/>
    <mergeCell ref="A124:A125"/>
    <mergeCell ref="A126:A127"/>
    <mergeCell ref="A128:A129"/>
    <mergeCell ref="A130:A131"/>
    <mergeCell ref="A132:A133"/>
    <mergeCell ref="A107:A108"/>
    <mergeCell ref="A109:A110"/>
    <mergeCell ref="A111:A112"/>
    <mergeCell ref="A113:A114"/>
    <mergeCell ref="A115:A116"/>
    <mergeCell ref="A117:A118"/>
    <mergeCell ref="A92:A93"/>
    <mergeCell ref="A94:A95"/>
    <mergeCell ref="A96:A97"/>
    <mergeCell ref="A98:A99"/>
    <mergeCell ref="A100:A101"/>
    <mergeCell ref="A102:A103"/>
    <mergeCell ref="A77:A78"/>
    <mergeCell ref="A79:A80"/>
    <mergeCell ref="A81:A82"/>
    <mergeCell ref="A83:A84"/>
    <mergeCell ref="A85:A86"/>
    <mergeCell ref="A90:A91"/>
    <mergeCell ref="A62:A63"/>
    <mergeCell ref="A64:A65"/>
    <mergeCell ref="A66:A67"/>
    <mergeCell ref="A68:A69"/>
    <mergeCell ref="A73:A74"/>
    <mergeCell ref="A75:A76"/>
    <mergeCell ref="A47:A48"/>
    <mergeCell ref="A49:A50"/>
    <mergeCell ref="A51:A52"/>
    <mergeCell ref="A56:A57"/>
    <mergeCell ref="A58:A59"/>
    <mergeCell ref="A60:A61"/>
    <mergeCell ref="A32:A33"/>
    <mergeCell ref="A34:A35"/>
    <mergeCell ref="A39:A40"/>
    <mergeCell ref="A41:A42"/>
    <mergeCell ref="A43:A44"/>
    <mergeCell ref="A45:A46"/>
    <mergeCell ref="A17:A18"/>
    <mergeCell ref="A22:A23"/>
    <mergeCell ref="A24:A25"/>
    <mergeCell ref="A26:A27"/>
    <mergeCell ref="A28:A29"/>
    <mergeCell ref="A30:A31"/>
    <mergeCell ref="A5:A6"/>
    <mergeCell ref="A7:A8"/>
    <mergeCell ref="A9:A10"/>
    <mergeCell ref="A11:A12"/>
    <mergeCell ref="A13:A14"/>
    <mergeCell ref="A15:A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1AAF5-FA94-4E81-9866-C39A304FC1D8}">
  <dimension ref="A1:I146"/>
  <sheetViews>
    <sheetView workbookViewId="0">
      <selection activeCell="E10" sqref="E10"/>
    </sheetView>
  </sheetViews>
  <sheetFormatPr defaultColWidth="8.88671875" defaultRowHeight="14.4" x14ac:dyDescent="0.3"/>
  <cols>
    <col min="1" max="1" width="16.6640625" customWidth="1"/>
    <col min="2" max="2" width="58.88671875" bestFit="1" customWidth="1"/>
    <col min="3" max="4" width="10.6640625" style="30" customWidth="1"/>
    <col min="6" max="6" width="16.6640625" customWidth="1"/>
    <col min="7" max="7" width="58.88671875" bestFit="1" customWidth="1"/>
    <col min="8" max="9" width="10.6640625" style="30" customWidth="1"/>
  </cols>
  <sheetData>
    <row r="1" spans="1:9" ht="21" x14ac:dyDescent="0.4">
      <c r="A1" s="1" t="s">
        <v>139</v>
      </c>
    </row>
    <row r="2" spans="1:9" ht="15" customHeight="1" x14ac:dyDescent="0.4">
      <c r="A2" s="1"/>
    </row>
    <row r="3" spans="1:9" ht="18" x14ac:dyDescent="0.35">
      <c r="A3" s="103" t="s">
        <v>140</v>
      </c>
      <c r="B3" s="103"/>
      <c r="C3" s="103"/>
      <c r="D3" s="103"/>
      <c r="F3" s="103" t="s">
        <v>141</v>
      </c>
      <c r="G3" s="103"/>
      <c r="H3" s="103"/>
      <c r="I3" s="103"/>
    </row>
    <row r="4" spans="1:9" ht="14.4" customHeight="1" x14ac:dyDescent="0.3">
      <c r="A4" s="3" t="s">
        <v>142</v>
      </c>
      <c r="B4" s="3"/>
      <c r="C4" s="3"/>
      <c r="D4" s="3"/>
      <c r="F4" s="3" t="s">
        <v>143</v>
      </c>
      <c r="G4" s="3"/>
      <c r="H4" s="3"/>
      <c r="I4" s="3"/>
    </row>
    <row r="5" spans="1:9" s="2" customFormat="1" x14ac:dyDescent="0.3">
      <c r="A5" s="31"/>
      <c r="B5" s="32" t="s">
        <v>144</v>
      </c>
      <c r="C5" s="33" t="s">
        <v>145</v>
      </c>
      <c r="D5" s="33" t="s">
        <v>146</v>
      </c>
      <c r="F5" s="31"/>
      <c r="G5" s="33" t="s">
        <v>144</v>
      </c>
      <c r="H5" s="33" t="s">
        <v>145</v>
      </c>
      <c r="I5" s="33" t="s">
        <v>146</v>
      </c>
    </row>
    <row r="6" spans="1:9" x14ac:dyDescent="0.3">
      <c r="A6" s="104" t="s">
        <v>93</v>
      </c>
      <c r="B6" s="34" t="s">
        <v>147</v>
      </c>
      <c r="C6" s="35" t="s">
        <v>148</v>
      </c>
      <c r="D6" s="36">
        <v>0.23183771615675841</v>
      </c>
      <c r="E6" s="37"/>
      <c r="F6" s="104" t="s">
        <v>93</v>
      </c>
      <c r="G6" s="34" t="s">
        <v>147</v>
      </c>
      <c r="H6" s="35" t="s">
        <v>149</v>
      </c>
      <c r="I6" s="36">
        <v>0.11800879377671186</v>
      </c>
    </row>
    <row r="7" spans="1:9" x14ac:dyDescent="0.3">
      <c r="A7" s="105"/>
      <c r="B7" s="34" t="s">
        <v>150</v>
      </c>
      <c r="C7" s="35" t="s">
        <v>151</v>
      </c>
      <c r="D7" s="36">
        <v>0.10480405197994475</v>
      </c>
      <c r="E7" s="37"/>
      <c r="F7" s="105"/>
      <c r="G7" s="34" t="s">
        <v>152</v>
      </c>
      <c r="H7" s="35" t="s">
        <v>153</v>
      </c>
      <c r="I7" s="36">
        <v>0.11457532617942175</v>
      </c>
    </row>
    <row r="8" spans="1:9" x14ac:dyDescent="0.3">
      <c r="A8" s="105"/>
      <c r="B8" s="34" t="s">
        <v>152</v>
      </c>
      <c r="C8" s="35" t="s">
        <v>154</v>
      </c>
      <c r="D8" s="36">
        <v>8.844520618029264E-2</v>
      </c>
      <c r="E8" s="37"/>
      <c r="F8" s="105"/>
      <c r="G8" s="34" t="s">
        <v>150</v>
      </c>
      <c r="H8" s="35" t="s">
        <v>155</v>
      </c>
      <c r="I8" s="36">
        <v>0.11057815494675563</v>
      </c>
    </row>
    <row r="9" spans="1:9" x14ac:dyDescent="0.3">
      <c r="A9" s="105"/>
      <c r="B9" s="34" t="s">
        <v>160</v>
      </c>
      <c r="C9" s="35" t="s">
        <v>157</v>
      </c>
      <c r="D9" s="36">
        <v>3.5723421671953338E-2</v>
      </c>
      <c r="E9" s="37"/>
      <c r="F9" s="105"/>
      <c r="G9" s="34" t="s">
        <v>158</v>
      </c>
      <c r="H9" s="35" t="s">
        <v>159</v>
      </c>
      <c r="I9" s="36">
        <v>8.1542293146388709E-2</v>
      </c>
    </row>
    <row r="10" spans="1:9" x14ac:dyDescent="0.3">
      <c r="A10" s="105"/>
      <c r="B10" s="34" t="s">
        <v>240</v>
      </c>
      <c r="C10" s="35" t="s">
        <v>161</v>
      </c>
      <c r="D10" s="36">
        <v>3.3894402946894504E-2</v>
      </c>
      <c r="E10" s="37"/>
      <c r="F10" s="105"/>
      <c r="G10" s="34" t="s">
        <v>127</v>
      </c>
      <c r="H10" s="35" t="s">
        <v>162</v>
      </c>
      <c r="I10" s="36">
        <v>6.3216800418165603E-2</v>
      </c>
    </row>
    <row r="11" spans="1:9" x14ac:dyDescent="0.3">
      <c r="A11" s="97" t="s">
        <v>94</v>
      </c>
      <c r="B11" s="10" t="s">
        <v>147</v>
      </c>
      <c r="C11" s="38" t="s">
        <v>163</v>
      </c>
      <c r="D11" s="39">
        <v>0.32122198120028922</v>
      </c>
      <c r="E11" s="37"/>
      <c r="F11" s="97" t="s">
        <v>94</v>
      </c>
      <c r="G11" s="10" t="s">
        <v>147</v>
      </c>
      <c r="H11" s="38" t="s">
        <v>164</v>
      </c>
      <c r="I11" s="39">
        <v>0.15714661176573658</v>
      </c>
    </row>
    <row r="12" spans="1:9" x14ac:dyDescent="0.3">
      <c r="A12" s="98"/>
      <c r="B12" s="10" t="s">
        <v>152</v>
      </c>
      <c r="C12" s="38" t="s">
        <v>165</v>
      </c>
      <c r="D12" s="39">
        <v>0.11223788864786696</v>
      </c>
      <c r="E12" s="37"/>
      <c r="F12" s="98"/>
      <c r="G12" s="10" t="s">
        <v>152</v>
      </c>
      <c r="H12" s="38" t="s">
        <v>166</v>
      </c>
      <c r="I12" s="39">
        <v>0.14582767532524421</v>
      </c>
    </row>
    <row r="13" spans="1:9" x14ac:dyDescent="0.3">
      <c r="A13" s="98"/>
      <c r="B13" s="10" t="s">
        <v>150</v>
      </c>
      <c r="C13" s="38" t="s">
        <v>167</v>
      </c>
      <c r="D13" s="39">
        <v>6.6793203181489513E-2</v>
      </c>
      <c r="E13" s="37"/>
      <c r="F13" s="98"/>
      <c r="G13" s="10" t="s">
        <v>127</v>
      </c>
      <c r="H13" s="38" t="s">
        <v>168</v>
      </c>
      <c r="I13" s="39">
        <v>8.9377546103640113E-2</v>
      </c>
    </row>
    <row r="14" spans="1:9" x14ac:dyDescent="0.3">
      <c r="A14" s="98"/>
      <c r="B14" s="10" t="s">
        <v>160</v>
      </c>
      <c r="C14" s="38" t="s">
        <v>169</v>
      </c>
      <c r="D14" s="39">
        <v>4.9909616775126536E-2</v>
      </c>
      <c r="E14" s="37"/>
      <c r="F14" s="98"/>
      <c r="G14" s="10" t="s">
        <v>158</v>
      </c>
      <c r="H14" s="38" t="s">
        <v>170</v>
      </c>
      <c r="I14" s="39">
        <v>7.3936659512024175E-2</v>
      </c>
    </row>
    <row r="15" spans="1:9" x14ac:dyDescent="0.3">
      <c r="A15" s="98"/>
      <c r="B15" s="10" t="s">
        <v>171</v>
      </c>
      <c r="C15" s="38" t="s">
        <v>172</v>
      </c>
      <c r="D15" s="39">
        <v>3.1851048445408529E-2</v>
      </c>
      <c r="E15" s="37"/>
      <c r="F15" s="98"/>
      <c r="G15" s="10" t="s">
        <v>150</v>
      </c>
      <c r="H15" s="38" t="s">
        <v>173</v>
      </c>
      <c r="I15" s="39">
        <v>6.4742213850803795E-2</v>
      </c>
    </row>
    <row r="16" spans="1:9" x14ac:dyDescent="0.3">
      <c r="A16" s="104" t="s">
        <v>95</v>
      </c>
      <c r="B16" s="34" t="s">
        <v>147</v>
      </c>
      <c r="C16" s="35" t="s">
        <v>174</v>
      </c>
      <c r="D16" s="36">
        <v>0.26581976666814533</v>
      </c>
      <c r="E16" s="37"/>
      <c r="F16" s="104" t="s">
        <v>95</v>
      </c>
      <c r="G16" s="34" t="s">
        <v>147</v>
      </c>
      <c r="H16" s="35" t="s">
        <v>175</v>
      </c>
      <c r="I16" s="36">
        <v>0.13152677344784752</v>
      </c>
    </row>
    <row r="17" spans="1:9" x14ac:dyDescent="0.3">
      <c r="A17" s="105"/>
      <c r="B17" s="34" t="s">
        <v>150</v>
      </c>
      <c r="C17" s="35" t="s">
        <v>176</v>
      </c>
      <c r="D17" s="36">
        <v>9.3188572949474344E-2</v>
      </c>
      <c r="E17" s="37"/>
      <c r="F17" s="105"/>
      <c r="G17" s="34" t="s">
        <v>152</v>
      </c>
      <c r="H17" s="35" t="s">
        <v>177</v>
      </c>
      <c r="I17" s="36">
        <v>0.11274957427379748</v>
      </c>
    </row>
    <row r="18" spans="1:9" x14ac:dyDescent="0.3">
      <c r="A18" s="105"/>
      <c r="B18" s="34" t="s">
        <v>152</v>
      </c>
      <c r="C18" s="35" t="s">
        <v>178</v>
      </c>
      <c r="D18" s="36">
        <v>8.5680699108370673E-2</v>
      </c>
      <c r="E18" s="37"/>
      <c r="F18" s="105"/>
      <c r="G18" s="34" t="s">
        <v>150</v>
      </c>
      <c r="H18" s="35" t="s">
        <v>179</v>
      </c>
      <c r="I18" s="36">
        <v>0.10267199749911564</v>
      </c>
    </row>
    <row r="19" spans="1:9" x14ac:dyDescent="0.3">
      <c r="A19" s="105"/>
      <c r="B19" s="34" t="s">
        <v>160</v>
      </c>
      <c r="C19" s="35" t="s">
        <v>180</v>
      </c>
      <c r="D19" s="36">
        <v>3.8620636117641841E-2</v>
      </c>
      <c r="E19" s="37"/>
      <c r="F19" s="105"/>
      <c r="G19" s="34" t="s">
        <v>158</v>
      </c>
      <c r="H19" s="35" t="s">
        <v>181</v>
      </c>
      <c r="I19" s="36">
        <v>8.2154873845191961E-2</v>
      </c>
    </row>
    <row r="20" spans="1:9" x14ac:dyDescent="0.3">
      <c r="A20" s="105"/>
      <c r="B20" s="34" t="s">
        <v>156</v>
      </c>
      <c r="C20" s="35" t="s">
        <v>182</v>
      </c>
      <c r="D20" s="36">
        <v>3.019784412012598E-2</v>
      </c>
      <c r="E20" s="37"/>
      <c r="F20" s="105"/>
      <c r="G20" s="34" t="s">
        <v>127</v>
      </c>
      <c r="H20" s="35" t="s">
        <v>183</v>
      </c>
      <c r="I20" s="36">
        <v>6.5142278930871933E-2</v>
      </c>
    </row>
    <row r="21" spans="1:9" x14ac:dyDescent="0.3">
      <c r="A21" s="97" t="s">
        <v>96</v>
      </c>
      <c r="B21" s="10" t="s">
        <v>147</v>
      </c>
      <c r="C21" s="38" t="s">
        <v>184</v>
      </c>
      <c r="D21" s="39">
        <v>0.33002373941660129</v>
      </c>
      <c r="E21" s="37"/>
      <c r="F21" s="97" t="s">
        <v>96</v>
      </c>
      <c r="G21" s="10" t="s">
        <v>147</v>
      </c>
      <c r="H21" s="38" t="s">
        <v>185</v>
      </c>
      <c r="I21" s="39">
        <v>0.15418679268920782</v>
      </c>
    </row>
    <row r="22" spans="1:9" x14ac:dyDescent="0.3">
      <c r="A22" s="98"/>
      <c r="B22" s="10" t="s">
        <v>152</v>
      </c>
      <c r="C22" s="38" t="s">
        <v>186</v>
      </c>
      <c r="D22" s="39">
        <v>0.10118798968914609</v>
      </c>
      <c r="E22" s="37"/>
      <c r="F22" s="98"/>
      <c r="G22" s="10" t="s">
        <v>152</v>
      </c>
      <c r="H22" s="38" t="s">
        <v>187</v>
      </c>
      <c r="I22" s="39">
        <v>0.13372610977324295</v>
      </c>
    </row>
    <row r="23" spans="1:9" x14ac:dyDescent="0.3">
      <c r="A23" s="98"/>
      <c r="B23" s="10" t="s">
        <v>150</v>
      </c>
      <c r="C23" s="38" t="s">
        <v>188</v>
      </c>
      <c r="D23" s="39">
        <v>7.6429714006255797E-2</v>
      </c>
      <c r="E23" s="37"/>
      <c r="F23" s="98"/>
      <c r="G23" s="10" t="s">
        <v>127</v>
      </c>
      <c r="H23" s="38" t="s">
        <v>189</v>
      </c>
      <c r="I23" s="39">
        <v>8.0727390414677261E-2</v>
      </c>
    </row>
    <row r="24" spans="1:9" x14ac:dyDescent="0.3">
      <c r="A24" s="98"/>
      <c r="B24" s="10" t="s">
        <v>160</v>
      </c>
      <c r="C24" s="38" t="s">
        <v>190</v>
      </c>
      <c r="D24" s="39">
        <v>4.6556765733731367E-2</v>
      </c>
      <c r="E24" s="37"/>
      <c r="F24" s="98"/>
      <c r="G24" s="10" t="s">
        <v>158</v>
      </c>
      <c r="H24" s="38" t="s">
        <v>191</v>
      </c>
      <c r="I24" s="39">
        <v>7.420760311251548E-2</v>
      </c>
    </row>
    <row r="25" spans="1:9" x14ac:dyDescent="0.3">
      <c r="A25" s="98"/>
      <c r="B25" s="10" t="s">
        <v>171</v>
      </c>
      <c r="C25" s="38" t="s">
        <v>192</v>
      </c>
      <c r="D25" s="39">
        <v>2.9684459342428349E-2</v>
      </c>
      <c r="E25" s="37"/>
      <c r="F25" s="98"/>
      <c r="G25" s="10" t="s">
        <v>150</v>
      </c>
      <c r="H25" s="38" t="s">
        <v>193</v>
      </c>
      <c r="I25" s="39">
        <v>7.3871782736396663E-2</v>
      </c>
    </row>
    <row r="26" spans="1:9" x14ac:dyDescent="0.3">
      <c r="A26" s="104" t="s">
        <v>97</v>
      </c>
      <c r="B26" s="34" t="s">
        <v>147</v>
      </c>
      <c r="C26" s="35" t="s">
        <v>194</v>
      </c>
      <c r="D26" s="36">
        <v>0.28448375656420022</v>
      </c>
      <c r="E26" s="37"/>
      <c r="F26" s="104" t="s">
        <v>97</v>
      </c>
      <c r="G26" s="34" t="s">
        <v>147</v>
      </c>
      <c r="H26" s="35" t="s">
        <v>195</v>
      </c>
      <c r="I26" s="36">
        <v>0.1424442889841272</v>
      </c>
    </row>
    <row r="27" spans="1:9" x14ac:dyDescent="0.3">
      <c r="A27" s="105"/>
      <c r="B27" s="34" t="s">
        <v>152</v>
      </c>
      <c r="C27" s="35" t="s">
        <v>196</v>
      </c>
      <c r="D27" s="36">
        <v>9.2930132704713592E-2</v>
      </c>
      <c r="E27" s="37"/>
      <c r="F27" s="105"/>
      <c r="G27" s="34" t="s">
        <v>152</v>
      </c>
      <c r="H27" s="35" t="s">
        <v>197</v>
      </c>
      <c r="I27" s="36">
        <v>0.11733782507997528</v>
      </c>
    </row>
    <row r="28" spans="1:9" x14ac:dyDescent="0.3">
      <c r="A28" s="105"/>
      <c r="B28" s="34" t="s">
        <v>150</v>
      </c>
      <c r="C28" s="35" t="s">
        <v>198</v>
      </c>
      <c r="D28" s="36">
        <v>8.6994727592267132E-2</v>
      </c>
      <c r="E28" s="37"/>
      <c r="F28" s="105"/>
      <c r="G28" s="34" t="s">
        <v>150</v>
      </c>
      <c r="H28" s="35" t="s">
        <v>199</v>
      </c>
      <c r="I28" s="36">
        <v>9.3263738428205636E-2</v>
      </c>
    </row>
    <row r="29" spans="1:9" x14ac:dyDescent="0.3">
      <c r="A29" s="105"/>
      <c r="B29" s="34" t="s">
        <v>160</v>
      </c>
      <c r="C29" s="35" t="s">
        <v>200</v>
      </c>
      <c r="D29" s="36">
        <v>4.3252686191764096E-2</v>
      </c>
      <c r="E29" s="37"/>
      <c r="F29" s="105"/>
      <c r="G29" s="34" t="s">
        <v>158</v>
      </c>
      <c r="H29" s="35" t="s">
        <v>201</v>
      </c>
      <c r="I29" s="36">
        <v>8.3272771729163975E-2</v>
      </c>
    </row>
    <row r="30" spans="1:9" x14ac:dyDescent="0.3">
      <c r="A30" s="105"/>
      <c r="B30" s="34" t="s">
        <v>171</v>
      </c>
      <c r="C30" s="35" t="s">
        <v>202</v>
      </c>
      <c r="D30" s="36">
        <v>3.1471327994275072E-2</v>
      </c>
      <c r="E30" s="37"/>
      <c r="F30" s="105"/>
      <c r="G30" s="34" t="s">
        <v>127</v>
      </c>
      <c r="H30" s="35" t="s">
        <v>203</v>
      </c>
      <c r="I30" s="36">
        <v>6.8853449973850969E-2</v>
      </c>
    </row>
    <row r="31" spans="1:9" x14ac:dyDescent="0.3">
      <c r="A31" s="97" t="s">
        <v>98</v>
      </c>
      <c r="B31" s="10" t="s">
        <v>147</v>
      </c>
      <c r="C31" s="38" t="s">
        <v>204</v>
      </c>
      <c r="D31" s="39">
        <v>0.31435293361058114</v>
      </c>
      <c r="E31" s="37"/>
      <c r="F31" s="97" t="s">
        <v>98</v>
      </c>
      <c r="G31" s="10" t="s">
        <v>147</v>
      </c>
      <c r="H31" s="38" t="s">
        <v>205</v>
      </c>
      <c r="I31" s="39">
        <v>0.1502675022928768</v>
      </c>
    </row>
    <row r="32" spans="1:9" x14ac:dyDescent="0.3">
      <c r="A32" s="98"/>
      <c r="B32" s="10" t="s">
        <v>152</v>
      </c>
      <c r="C32" s="38" t="s">
        <v>206</v>
      </c>
      <c r="D32" s="39">
        <v>9.4610816952131874E-2</v>
      </c>
      <c r="E32" s="37"/>
      <c r="F32" s="98"/>
      <c r="G32" s="10" t="s">
        <v>152</v>
      </c>
      <c r="H32" s="38" t="s">
        <v>207</v>
      </c>
      <c r="I32" s="39">
        <v>0.13320276673800061</v>
      </c>
    </row>
    <row r="33" spans="1:9" x14ac:dyDescent="0.3">
      <c r="A33" s="98"/>
      <c r="B33" s="10" t="s">
        <v>150</v>
      </c>
      <c r="C33" s="38" t="s">
        <v>208</v>
      </c>
      <c r="D33" s="39">
        <v>8.1866706681815254E-2</v>
      </c>
      <c r="E33" s="37"/>
      <c r="F33" s="98"/>
      <c r="G33" s="10" t="s">
        <v>127</v>
      </c>
      <c r="H33" s="38" t="s">
        <v>209</v>
      </c>
      <c r="I33" s="39">
        <v>8.0168526444512375E-2</v>
      </c>
    </row>
    <row r="34" spans="1:9" x14ac:dyDescent="0.3">
      <c r="A34" s="98"/>
      <c r="B34" s="10" t="s">
        <v>160</v>
      </c>
      <c r="C34" s="38" t="s">
        <v>210</v>
      </c>
      <c r="D34" s="39">
        <v>4.2251709575767966E-2</v>
      </c>
      <c r="E34" s="37"/>
      <c r="F34" s="98"/>
      <c r="G34" s="10" t="s">
        <v>150</v>
      </c>
      <c r="H34" s="38" t="s">
        <v>211</v>
      </c>
      <c r="I34" s="39">
        <v>7.6339422195047385E-2</v>
      </c>
    </row>
    <row r="35" spans="1:9" x14ac:dyDescent="0.3">
      <c r="A35" s="98"/>
      <c r="B35" s="10" t="s">
        <v>240</v>
      </c>
      <c r="C35" s="38" t="s">
        <v>212</v>
      </c>
      <c r="D35" s="39">
        <v>2.8039186263371135E-2</v>
      </c>
      <c r="E35" s="37"/>
      <c r="F35" s="98"/>
      <c r="G35" s="10" t="s">
        <v>158</v>
      </c>
      <c r="H35" s="38" t="s">
        <v>213</v>
      </c>
      <c r="I35" s="39">
        <v>7.2798838275756644E-2</v>
      </c>
    </row>
    <row r="36" spans="1:9" x14ac:dyDescent="0.3">
      <c r="A36" s="104" t="s">
        <v>99</v>
      </c>
      <c r="B36" s="34" t="s">
        <v>147</v>
      </c>
      <c r="C36" s="35" t="s">
        <v>214</v>
      </c>
      <c r="D36" s="36">
        <v>0.26475183700436594</v>
      </c>
      <c r="E36" s="37"/>
      <c r="F36" s="104" t="s">
        <v>99</v>
      </c>
      <c r="G36" s="34" t="s">
        <v>147</v>
      </c>
      <c r="H36" s="35" t="s">
        <v>215</v>
      </c>
      <c r="I36" s="36">
        <v>0.14769614282703922</v>
      </c>
    </row>
    <row r="37" spans="1:9" x14ac:dyDescent="0.3">
      <c r="A37" s="105"/>
      <c r="B37" s="34" t="s">
        <v>152</v>
      </c>
      <c r="C37" s="35" t="s">
        <v>216</v>
      </c>
      <c r="D37" s="36">
        <v>9.5640295349231713E-2</v>
      </c>
      <c r="E37" s="37"/>
      <c r="F37" s="105"/>
      <c r="G37" s="34" t="s">
        <v>152</v>
      </c>
      <c r="H37" s="35" t="s">
        <v>217</v>
      </c>
      <c r="I37" s="36">
        <v>0.1207995014324849</v>
      </c>
    </row>
    <row r="38" spans="1:9" x14ac:dyDescent="0.3">
      <c r="A38" s="105"/>
      <c r="B38" s="34" t="s">
        <v>150</v>
      </c>
      <c r="C38" s="35" t="s">
        <v>218</v>
      </c>
      <c r="D38" s="36">
        <v>8.3685258430577752E-2</v>
      </c>
      <c r="E38" s="37"/>
      <c r="F38" s="105"/>
      <c r="G38" s="34" t="s">
        <v>158</v>
      </c>
      <c r="H38" s="35" t="s">
        <v>219</v>
      </c>
      <c r="I38" s="36">
        <v>7.9111724855294371E-2</v>
      </c>
    </row>
    <row r="39" spans="1:9" x14ac:dyDescent="0.3">
      <c r="A39" s="105"/>
      <c r="B39" s="34" t="s">
        <v>160</v>
      </c>
      <c r="C39" s="35" t="s">
        <v>220</v>
      </c>
      <c r="D39" s="36">
        <v>4.2043516691517194E-2</v>
      </c>
      <c r="E39" s="37"/>
      <c r="F39" s="105"/>
      <c r="G39" s="34" t="s">
        <v>127</v>
      </c>
      <c r="H39" s="35" t="s">
        <v>221</v>
      </c>
      <c r="I39" s="36">
        <v>7.6928250216329874E-2</v>
      </c>
    </row>
    <row r="40" spans="1:9" x14ac:dyDescent="0.3">
      <c r="A40" s="105"/>
      <c r="B40" s="34" t="s">
        <v>171</v>
      </c>
      <c r="C40" s="35" t="s">
        <v>222</v>
      </c>
      <c r="D40" s="36">
        <v>3.4124085961983158E-2</v>
      </c>
      <c r="E40" s="37"/>
      <c r="F40" s="105"/>
      <c r="G40" s="34" t="s">
        <v>150</v>
      </c>
      <c r="H40" s="35" t="s">
        <v>223</v>
      </c>
      <c r="I40" s="36">
        <v>7.5574226928922739E-2</v>
      </c>
    </row>
    <row r="41" spans="1:9" x14ac:dyDescent="0.3">
      <c r="A41" s="97" t="s">
        <v>100</v>
      </c>
      <c r="B41" s="10" t="s">
        <v>147</v>
      </c>
      <c r="C41" s="38" t="s">
        <v>224</v>
      </c>
      <c r="D41" s="39">
        <v>0.30952396480770111</v>
      </c>
      <c r="E41" s="37"/>
      <c r="F41" s="97" t="s">
        <v>100</v>
      </c>
      <c r="G41" s="10" t="s">
        <v>147</v>
      </c>
      <c r="H41" s="38" t="s">
        <v>225</v>
      </c>
      <c r="I41" s="39">
        <v>0.15499875329856422</v>
      </c>
    </row>
    <row r="42" spans="1:9" x14ac:dyDescent="0.3">
      <c r="A42" s="98"/>
      <c r="B42" s="10" t="s">
        <v>152</v>
      </c>
      <c r="C42" s="38" t="s">
        <v>226</v>
      </c>
      <c r="D42" s="39">
        <v>0.10041153336942131</v>
      </c>
      <c r="E42" s="37"/>
      <c r="F42" s="98"/>
      <c r="G42" s="10" t="s">
        <v>152</v>
      </c>
      <c r="H42" s="38" t="s">
        <v>227</v>
      </c>
      <c r="I42" s="39">
        <v>0.13490088723585514</v>
      </c>
    </row>
    <row r="43" spans="1:9" x14ac:dyDescent="0.3">
      <c r="A43" s="98"/>
      <c r="B43" s="10" t="s">
        <v>150</v>
      </c>
      <c r="C43" s="38" t="s">
        <v>228</v>
      </c>
      <c r="D43" s="39">
        <v>7.4643413835608394E-2</v>
      </c>
      <c r="E43" s="37"/>
      <c r="F43" s="98"/>
      <c r="G43" s="10" t="s">
        <v>127</v>
      </c>
      <c r="H43" s="38" t="s">
        <v>229</v>
      </c>
      <c r="I43" s="39">
        <v>7.7737029110478528E-2</v>
      </c>
    </row>
    <row r="44" spans="1:9" x14ac:dyDescent="0.3">
      <c r="A44" s="98"/>
      <c r="B44" s="10" t="s">
        <v>160</v>
      </c>
      <c r="C44" s="38" t="s">
        <v>230</v>
      </c>
      <c r="D44" s="39">
        <v>4.9931845899992826E-2</v>
      </c>
      <c r="E44" s="37"/>
      <c r="F44" s="98"/>
      <c r="G44" s="10" t="s">
        <v>150</v>
      </c>
      <c r="H44" s="38" t="s">
        <v>231</v>
      </c>
      <c r="I44" s="39">
        <v>7.6157873958484848E-2</v>
      </c>
    </row>
    <row r="45" spans="1:9" x14ac:dyDescent="0.3">
      <c r="A45" s="98"/>
      <c r="B45" s="10" t="s">
        <v>171</v>
      </c>
      <c r="C45" s="38" t="s">
        <v>232</v>
      </c>
      <c r="D45" s="39">
        <v>3.2205257974681892E-2</v>
      </c>
      <c r="E45" s="37"/>
      <c r="F45" s="98"/>
      <c r="G45" s="10" t="s">
        <v>158</v>
      </c>
      <c r="H45" s="38" t="s">
        <v>233</v>
      </c>
      <c r="I45" s="39">
        <v>7.5272196480146283E-2</v>
      </c>
    </row>
    <row r="46" spans="1:9" x14ac:dyDescent="0.3">
      <c r="A46" s="104" t="s">
        <v>101</v>
      </c>
      <c r="B46" s="34" t="s">
        <v>147</v>
      </c>
      <c r="C46" s="35" t="s">
        <v>234</v>
      </c>
      <c r="D46" s="36">
        <v>0.31991734794717458</v>
      </c>
      <c r="E46" s="37"/>
      <c r="F46" s="104" t="s">
        <v>101</v>
      </c>
      <c r="G46" s="34" t="s">
        <v>147</v>
      </c>
      <c r="H46" s="35" t="s">
        <v>235</v>
      </c>
      <c r="I46" s="36">
        <v>0.13333587578835968</v>
      </c>
    </row>
    <row r="47" spans="1:9" x14ac:dyDescent="0.3">
      <c r="A47" s="105"/>
      <c r="B47" s="34" t="s">
        <v>150</v>
      </c>
      <c r="C47" s="35" t="s">
        <v>236</v>
      </c>
      <c r="D47" s="36">
        <v>9.8742251370047621E-2</v>
      </c>
      <c r="E47" s="37"/>
      <c r="F47" s="105"/>
      <c r="G47" s="34" t="s">
        <v>152</v>
      </c>
      <c r="H47" s="35" t="s">
        <v>237</v>
      </c>
      <c r="I47" s="36">
        <v>0.12100337987615066</v>
      </c>
    </row>
    <row r="48" spans="1:9" x14ac:dyDescent="0.3">
      <c r="A48" s="105"/>
      <c r="B48" s="34" t="s">
        <v>152</v>
      </c>
      <c r="C48" s="35" t="s">
        <v>238</v>
      </c>
      <c r="D48" s="36">
        <v>8.2714940256940081E-2</v>
      </c>
      <c r="E48" s="37"/>
      <c r="F48" s="105"/>
      <c r="G48" s="34" t="s">
        <v>150</v>
      </c>
      <c r="H48" s="35" t="s">
        <v>239</v>
      </c>
      <c r="I48" s="36">
        <v>0.10124373721820461</v>
      </c>
    </row>
    <row r="49" spans="1:9" x14ac:dyDescent="0.3">
      <c r="A49" s="105"/>
      <c r="B49" s="34" t="s">
        <v>240</v>
      </c>
      <c r="C49" s="35" t="s">
        <v>241</v>
      </c>
      <c r="D49" s="36">
        <v>3.5890755547569847E-2</v>
      </c>
      <c r="E49" s="37"/>
      <c r="F49" s="105"/>
      <c r="G49" s="34" t="s">
        <v>158</v>
      </c>
      <c r="H49" s="35" t="s">
        <v>242</v>
      </c>
      <c r="I49" s="36">
        <v>7.6249815274751997E-2</v>
      </c>
    </row>
    <row r="50" spans="1:9" x14ac:dyDescent="0.3">
      <c r="A50" s="105"/>
      <c r="B50" s="34" t="s">
        <v>160</v>
      </c>
      <c r="C50" s="35" t="s">
        <v>243</v>
      </c>
      <c r="D50" s="36">
        <v>3.3590872338514058E-2</v>
      </c>
      <c r="E50" s="37"/>
      <c r="F50" s="105"/>
      <c r="G50" s="34" t="s">
        <v>127</v>
      </c>
      <c r="H50" s="35" t="s">
        <v>244</v>
      </c>
      <c r="I50" s="36">
        <v>7.2193010473325672E-2</v>
      </c>
    </row>
    <row r="52" spans="1:9" x14ac:dyDescent="0.3">
      <c r="A52" s="3" t="s">
        <v>245</v>
      </c>
      <c r="B52" s="3"/>
      <c r="C52" s="3"/>
      <c r="D52" s="3"/>
      <c r="F52" s="3" t="s">
        <v>246</v>
      </c>
      <c r="G52" s="4"/>
      <c r="H52" s="40"/>
      <c r="I52" s="40"/>
    </row>
    <row r="53" spans="1:9" s="2" customFormat="1" x14ac:dyDescent="0.3">
      <c r="A53" s="31"/>
      <c r="B53" s="31" t="s">
        <v>144</v>
      </c>
      <c r="C53" s="33" t="s">
        <v>145</v>
      </c>
      <c r="D53" s="33" t="s">
        <v>146</v>
      </c>
      <c r="F53" s="31"/>
      <c r="G53" s="31" t="s">
        <v>144</v>
      </c>
      <c r="H53" s="33" t="s">
        <v>145</v>
      </c>
      <c r="I53" s="33" t="s">
        <v>146</v>
      </c>
    </row>
    <row r="54" spans="1:9" x14ac:dyDescent="0.3">
      <c r="A54" s="104" t="s">
        <v>93</v>
      </c>
      <c r="B54" s="34" t="s">
        <v>147</v>
      </c>
      <c r="C54" s="35" t="s">
        <v>247</v>
      </c>
      <c r="D54" s="36">
        <v>0.23257608383577374</v>
      </c>
      <c r="F54" s="104" t="s">
        <v>93</v>
      </c>
      <c r="G54" s="34" t="s">
        <v>147</v>
      </c>
      <c r="H54" s="35" t="s">
        <v>248</v>
      </c>
      <c r="I54" s="36">
        <v>0.12860611547800321</v>
      </c>
    </row>
    <row r="55" spans="1:9" x14ac:dyDescent="0.3">
      <c r="A55" s="105"/>
      <c r="B55" s="34" t="s">
        <v>150</v>
      </c>
      <c r="C55" s="35" t="s">
        <v>249</v>
      </c>
      <c r="D55" s="36">
        <v>0.11039333907550962</v>
      </c>
      <c r="F55" s="105"/>
      <c r="G55" s="34" t="s">
        <v>150</v>
      </c>
      <c r="H55" s="35" t="s">
        <v>250</v>
      </c>
      <c r="I55" s="36">
        <v>0.100305911080017</v>
      </c>
    </row>
    <row r="56" spans="1:9" x14ac:dyDescent="0.3">
      <c r="A56" s="105"/>
      <c r="B56" s="34" t="s">
        <v>152</v>
      </c>
      <c r="C56" s="35" t="s">
        <v>251</v>
      </c>
      <c r="D56" s="36">
        <v>8.7316968130921616E-2</v>
      </c>
      <c r="F56" s="105"/>
      <c r="G56" s="34" t="s">
        <v>152</v>
      </c>
      <c r="H56" s="35" t="s">
        <v>252</v>
      </c>
      <c r="I56" s="36">
        <v>9.5038204590038006E-2</v>
      </c>
    </row>
    <row r="57" spans="1:9" x14ac:dyDescent="0.3">
      <c r="A57" s="105"/>
      <c r="B57" s="34" t="s">
        <v>156</v>
      </c>
      <c r="C57" s="35" t="s">
        <v>253</v>
      </c>
      <c r="D57" s="36">
        <v>3.868791271892047E-2</v>
      </c>
      <c r="F57" s="105"/>
      <c r="G57" s="34" t="s">
        <v>158</v>
      </c>
      <c r="H57" s="35" t="s">
        <v>254</v>
      </c>
      <c r="I57" s="36">
        <v>9.1005116808647812E-2</v>
      </c>
    </row>
    <row r="58" spans="1:9" x14ac:dyDescent="0.3">
      <c r="A58" s="105"/>
      <c r="B58" s="34" t="s">
        <v>160</v>
      </c>
      <c r="C58" s="35" t="s">
        <v>255</v>
      </c>
      <c r="D58" s="36">
        <v>3.5942434682744759E-2</v>
      </c>
      <c r="F58" s="105"/>
      <c r="G58" s="34" t="s">
        <v>127</v>
      </c>
      <c r="H58" s="35" t="s">
        <v>256</v>
      </c>
      <c r="I58" s="36">
        <v>5.8589516715365518E-2</v>
      </c>
    </row>
    <row r="59" spans="1:9" x14ac:dyDescent="0.3">
      <c r="A59" s="97" t="s">
        <v>94</v>
      </c>
      <c r="B59" s="10" t="s">
        <v>147</v>
      </c>
      <c r="C59" s="38" t="s">
        <v>257</v>
      </c>
      <c r="D59" s="39">
        <v>0.29634853973647934</v>
      </c>
      <c r="F59" s="97" t="s">
        <v>94</v>
      </c>
      <c r="G59" s="10" t="s">
        <v>147</v>
      </c>
      <c r="H59" s="38" t="s">
        <v>258</v>
      </c>
      <c r="I59" s="39">
        <v>0.16648663978079814</v>
      </c>
    </row>
    <row r="60" spans="1:9" x14ac:dyDescent="0.3">
      <c r="A60" s="98"/>
      <c r="B60" s="10" t="s">
        <v>152</v>
      </c>
      <c r="C60" s="38" t="s">
        <v>259</v>
      </c>
      <c r="D60" s="39">
        <v>0.11803930368993043</v>
      </c>
      <c r="F60" s="98"/>
      <c r="G60" s="10" t="s">
        <v>152</v>
      </c>
      <c r="H60" s="38" t="s">
        <v>260</v>
      </c>
      <c r="I60" s="39">
        <v>0.12547804436585355</v>
      </c>
    </row>
    <row r="61" spans="1:9" x14ac:dyDescent="0.3">
      <c r="A61" s="98"/>
      <c r="B61" s="10" t="s">
        <v>150</v>
      </c>
      <c r="C61" s="38" t="s">
        <v>261</v>
      </c>
      <c r="D61" s="39">
        <v>6.2626230243964992E-2</v>
      </c>
      <c r="F61" s="98"/>
      <c r="G61" s="10" t="s">
        <v>127</v>
      </c>
      <c r="H61" s="38" t="s">
        <v>262</v>
      </c>
      <c r="I61" s="39">
        <v>7.7788296723232647E-2</v>
      </c>
    </row>
    <row r="62" spans="1:9" x14ac:dyDescent="0.3">
      <c r="A62" s="98"/>
      <c r="B62" s="10" t="s">
        <v>160</v>
      </c>
      <c r="C62" s="38" t="s">
        <v>263</v>
      </c>
      <c r="D62" s="39">
        <v>4.4000256467797261E-2</v>
      </c>
      <c r="F62" s="98"/>
      <c r="G62" s="10" t="s">
        <v>158</v>
      </c>
      <c r="H62" s="38" t="s">
        <v>264</v>
      </c>
      <c r="I62" s="39">
        <v>7.5999149216570264E-2</v>
      </c>
    </row>
    <row r="63" spans="1:9" x14ac:dyDescent="0.3">
      <c r="A63" s="98"/>
      <c r="B63" s="10" t="s">
        <v>171</v>
      </c>
      <c r="C63" s="38" t="s">
        <v>265</v>
      </c>
      <c r="D63" s="39">
        <v>3.4959766614304492E-2</v>
      </c>
      <c r="F63" s="98"/>
      <c r="G63" s="10" t="s">
        <v>150</v>
      </c>
      <c r="H63" s="38" t="s">
        <v>266</v>
      </c>
      <c r="I63" s="39">
        <v>6.3500139711984788E-2</v>
      </c>
    </row>
    <row r="64" spans="1:9" x14ac:dyDescent="0.3">
      <c r="A64" s="104" t="s">
        <v>95</v>
      </c>
      <c r="B64" s="34" t="s">
        <v>147</v>
      </c>
      <c r="C64" s="35" t="s">
        <v>267</v>
      </c>
      <c r="D64" s="36">
        <v>0.2424747816558703</v>
      </c>
      <c r="F64" s="104" t="s">
        <v>95</v>
      </c>
      <c r="G64" s="34" t="s">
        <v>147</v>
      </c>
      <c r="H64" s="35" t="s">
        <v>268</v>
      </c>
      <c r="I64" s="36">
        <v>0.13847173636951049</v>
      </c>
    </row>
    <row r="65" spans="1:9" x14ac:dyDescent="0.3">
      <c r="A65" s="105"/>
      <c r="B65" s="34" t="s">
        <v>150</v>
      </c>
      <c r="C65" s="35" t="s">
        <v>269</v>
      </c>
      <c r="D65" s="36">
        <v>9.6353411324889615E-2</v>
      </c>
      <c r="F65" s="105"/>
      <c r="G65" s="34" t="s">
        <v>152</v>
      </c>
      <c r="H65" s="35" t="s">
        <v>270</v>
      </c>
      <c r="I65" s="36">
        <v>9.5920322630957428E-2</v>
      </c>
    </row>
    <row r="66" spans="1:9" x14ac:dyDescent="0.3">
      <c r="A66" s="105"/>
      <c r="B66" s="34" t="s">
        <v>152</v>
      </c>
      <c r="C66" s="35" t="s">
        <v>271</v>
      </c>
      <c r="D66" s="36">
        <v>9.0117309613587285E-2</v>
      </c>
      <c r="F66" s="105"/>
      <c r="G66" s="34" t="s">
        <v>150</v>
      </c>
      <c r="H66" s="35" t="s">
        <v>272</v>
      </c>
      <c r="I66" s="36">
        <v>9.2444464249905309E-2</v>
      </c>
    </row>
    <row r="67" spans="1:9" x14ac:dyDescent="0.3">
      <c r="A67" s="105"/>
      <c r="B67" s="34" t="s">
        <v>160</v>
      </c>
      <c r="C67" s="35" t="s">
        <v>273</v>
      </c>
      <c r="D67" s="36">
        <v>3.7545521931096719E-2</v>
      </c>
      <c r="F67" s="105"/>
      <c r="G67" s="34" t="s">
        <v>158</v>
      </c>
      <c r="H67" s="35" t="s">
        <v>274</v>
      </c>
      <c r="I67" s="36">
        <v>9.0784519061518243E-2</v>
      </c>
    </row>
    <row r="68" spans="1:9" x14ac:dyDescent="0.3">
      <c r="A68" s="105"/>
      <c r="B68" s="34" t="s">
        <v>156</v>
      </c>
      <c r="C68" s="35" t="s">
        <v>275</v>
      </c>
      <c r="D68" s="36">
        <v>3.6707596119758934E-2</v>
      </c>
      <c r="F68" s="105"/>
      <c r="G68" s="34" t="s">
        <v>127</v>
      </c>
      <c r="H68" s="35" t="s">
        <v>276</v>
      </c>
      <c r="I68" s="36">
        <v>6.2654575432811208E-2</v>
      </c>
    </row>
    <row r="69" spans="1:9" x14ac:dyDescent="0.3">
      <c r="A69" s="97" t="s">
        <v>96</v>
      </c>
      <c r="B69" s="10" t="s">
        <v>147</v>
      </c>
      <c r="C69" s="38" t="s">
        <v>277</v>
      </c>
      <c r="D69" s="39">
        <v>0.32112573134101724</v>
      </c>
      <c r="F69" s="97" t="s">
        <v>96</v>
      </c>
      <c r="G69" s="10" t="s">
        <v>147</v>
      </c>
      <c r="H69" s="38" t="s">
        <v>278</v>
      </c>
      <c r="I69" s="39">
        <v>0.16108930694190238</v>
      </c>
    </row>
    <row r="70" spans="1:9" x14ac:dyDescent="0.3">
      <c r="A70" s="98"/>
      <c r="B70" s="10" t="s">
        <v>152</v>
      </c>
      <c r="C70" s="38" t="s">
        <v>279</v>
      </c>
      <c r="D70" s="39">
        <v>9.8295079789127035E-2</v>
      </c>
      <c r="F70" s="98"/>
      <c r="G70" s="10" t="s">
        <v>152</v>
      </c>
      <c r="H70" s="38" t="s">
        <v>280</v>
      </c>
      <c r="I70" s="39">
        <v>0.11724248542370323</v>
      </c>
    </row>
    <row r="71" spans="1:9" x14ac:dyDescent="0.3">
      <c r="A71" s="98"/>
      <c r="B71" s="10" t="s">
        <v>150</v>
      </c>
      <c r="C71" s="38" t="s">
        <v>281</v>
      </c>
      <c r="D71" s="39">
        <v>7.0654778569157695E-2</v>
      </c>
      <c r="F71" s="98"/>
      <c r="G71" s="10" t="s">
        <v>158</v>
      </c>
      <c r="H71" s="38" t="s">
        <v>282</v>
      </c>
      <c r="I71" s="39">
        <v>7.9185299796843842E-2</v>
      </c>
    </row>
    <row r="72" spans="1:9" x14ac:dyDescent="0.3">
      <c r="A72" s="98"/>
      <c r="B72" s="10" t="s">
        <v>160</v>
      </c>
      <c r="C72" s="38" t="s">
        <v>283</v>
      </c>
      <c r="D72" s="39">
        <v>4.2520985275904775E-2</v>
      </c>
      <c r="F72" s="98"/>
      <c r="G72" s="10" t="s">
        <v>127</v>
      </c>
      <c r="H72" s="38" t="s">
        <v>284</v>
      </c>
      <c r="I72" s="39">
        <v>7.4674038153103001E-2</v>
      </c>
    </row>
    <row r="73" spans="1:9" x14ac:dyDescent="0.3">
      <c r="A73" s="98"/>
      <c r="B73" s="10" t="s">
        <v>171</v>
      </c>
      <c r="C73" s="38" t="s">
        <v>285</v>
      </c>
      <c r="D73" s="39">
        <v>2.9609524397014374E-2</v>
      </c>
      <c r="F73" s="98"/>
      <c r="G73" s="10" t="s">
        <v>150</v>
      </c>
      <c r="H73" s="38" t="s">
        <v>286</v>
      </c>
      <c r="I73" s="39">
        <v>7.3273015453704932E-2</v>
      </c>
    </row>
    <row r="74" spans="1:9" x14ac:dyDescent="0.3">
      <c r="A74" s="104" t="s">
        <v>97</v>
      </c>
      <c r="B74" s="34" t="s">
        <v>147</v>
      </c>
      <c r="C74" s="35" t="s">
        <v>287</v>
      </c>
      <c r="D74" s="36">
        <v>0.25682367264033712</v>
      </c>
      <c r="F74" s="104" t="s">
        <v>97</v>
      </c>
      <c r="G74" s="34" t="s">
        <v>147</v>
      </c>
      <c r="H74" s="35" t="s">
        <v>288</v>
      </c>
      <c r="I74" s="36">
        <v>0.14884437368636852</v>
      </c>
    </row>
    <row r="75" spans="1:9" x14ac:dyDescent="0.3">
      <c r="A75" s="105"/>
      <c r="B75" s="34" t="s">
        <v>152</v>
      </c>
      <c r="C75" s="35" t="s">
        <v>289</v>
      </c>
      <c r="D75" s="36">
        <v>9.4411748008250862E-2</v>
      </c>
      <c r="F75" s="105"/>
      <c r="G75" s="34" t="s">
        <v>152</v>
      </c>
      <c r="H75" s="35" t="s">
        <v>290</v>
      </c>
      <c r="I75" s="36">
        <v>0.10104203990115211</v>
      </c>
    </row>
    <row r="76" spans="1:9" x14ac:dyDescent="0.3">
      <c r="A76" s="105"/>
      <c r="B76" s="34" t="s">
        <v>150</v>
      </c>
      <c r="C76" s="35" t="s">
        <v>291</v>
      </c>
      <c r="D76" s="36">
        <v>8.4331573402973592E-2</v>
      </c>
      <c r="F76" s="105"/>
      <c r="G76" s="34" t="s">
        <v>158</v>
      </c>
      <c r="H76" s="35" t="s">
        <v>292</v>
      </c>
      <c r="I76" s="36">
        <v>9.1559883126045821E-2</v>
      </c>
    </row>
    <row r="77" spans="1:9" x14ac:dyDescent="0.3">
      <c r="A77" s="105"/>
      <c r="B77" s="34" t="s">
        <v>160</v>
      </c>
      <c r="C77" s="35" t="s">
        <v>293</v>
      </c>
      <c r="D77" s="36">
        <v>4.1317361492219089E-2</v>
      </c>
      <c r="F77" s="105"/>
      <c r="G77" s="34" t="s">
        <v>150</v>
      </c>
      <c r="H77" s="35" t="s">
        <v>294</v>
      </c>
      <c r="I77" s="36">
        <v>8.503651387601166E-2</v>
      </c>
    </row>
    <row r="78" spans="1:9" x14ac:dyDescent="0.3">
      <c r="A78" s="105"/>
      <c r="B78" s="34" t="s">
        <v>158</v>
      </c>
      <c r="C78" s="35" t="s">
        <v>295</v>
      </c>
      <c r="D78" s="36">
        <v>3.4946287430060112E-2</v>
      </c>
      <c r="F78" s="105"/>
      <c r="G78" s="34" t="s">
        <v>127</v>
      </c>
      <c r="H78" s="35" t="s">
        <v>296</v>
      </c>
      <c r="I78" s="36">
        <v>6.5647405612461629E-2</v>
      </c>
    </row>
    <row r="79" spans="1:9" x14ac:dyDescent="0.3">
      <c r="A79" s="97" t="s">
        <v>98</v>
      </c>
      <c r="B79" s="10" t="s">
        <v>147</v>
      </c>
      <c r="C79" s="38" t="s">
        <v>297</v>
      </c>
      <c r="D79" s="39">
        <v>0.32357511484149037</v>
      </c>
      <c r="F79" s="97" t="s">
        <v>98</v>
      </c>
      <c r="G79" s="10" t="s">
        <v>147</v>
      </c>
      <c r="H79" s="38" t="s">
        <v>298</v>
      </c>
      <c r="I79" s="39">
        <v>0.15972090922941651</v>
      </c>
    </row>
    <row r="80" spans="1:9" x14ac:dyDescent="0.3">
      <c r="A80" s="98"/>
      <c r="B80" s="10" t="s">
        <v>152</v>
      </c>
      <c r="C80" s="38" t="s">
        <v>299</v>
      </c>
      <c r="D80" s="39">
        <v>9.6030170702659789E-2</v>
      </c>
      <c r="F80" s="98"/>
      <c r="G80" s="10" t="s">
        <v>152</v>
      </c>
      <c r="H80" s="38" t="s">
        <v>300</v>
      </c>
      <c r="I80" s="39">
        <v>0.11826664145720479</v>
      </c>
    </row>
    <row r="81" spans="1:9" x14ac:dyDescent="0.3">
      <c r="A81" s="98"/>
      <c r="B81" s="10" t="s">
        <v>150</v>
      </c>
      <c r="C81" s="38" t="s">
        <v>301</v>
      </c>
      <c r="D81" s="39">
        <v>7.6447569897351561E-2</v>
      </c>
      <c r="F81" s="98"/>
      <c r="G81" s="10" t="s">
        <v>158</v>
      </c>
      <c r="H81" s="38" t="s">
        <v>302</v>
      </c>
      <c r="I81" s="39">
        <v>7.6858264695678358E-2</v>
      </c>
    </row>
    <row r="82" spans="1:9" x14ac:dyDescent="0.3">
      <c r="A82" s="98"/>
      <c r="B82" s="10" t="s">
        <v>160</v>
      </c>
      <c r="C82" s="38" t="s">
        <v>303</v>
      </c>
      <c r="D82" s="39">
        <v>4.0100947087846651E-2</v>
      </c>
      <c r="F82" s="98"/>
      <c r="G82" s="10" t="s">
        <v>127</v>
      </c>
      <c r="H82" s="38" t="s">
        <v>304</v>
      </c>
      <c r="I82" s="39">
        <v>7.5198845749299248E-2</v>
      </c>
    </row>
    <row r="83" spans="1:9" x14ac:dyDescent="0.3">
      <c r="A83" s="98"/>
      <c r="B83" s="10" t="s">
        <v>171</v>
      </c>
      <c r="C83" s="38" t="s">
        <v>305</v>
      </c>
      <c r="D83" s="39">
        <v>2.8191459195826007E-2</v>
      </c>
      <c r="F83" s="98"/>
      <c r="G83" s="10" t="s">
        <v>150</v>
      </c>
      <c r="H83" s="38" t="s">
        <v>306</v>
      </c>
      <c r="I83" s="39">
        <v>7.3745018530790116E-2</v>
      </c>
    </row>
    <row r="84" spans="1:9" x14ac:dyDescent="0.3">
      <c r="A84" s="104" t="s">
        <v>99</v>
      </c>
      <c r="B84" s="34" t="s">
        <v>147</v>
      </c>
      <c r="C84" s="35" t="s">
        <v>307</v>
      </c>
      <c r="D84" s="36">
        <v>0.24517210709794821</v>
      </c>
      <c r="F84" s="104" t="s">
        <v>99</v>
      </c>
      <c r="G84" s="34" t="s">
        <v>147</v>
      </c>
      <c r="H84" s="35" t="s">
        <v>308</v>
      </c>
      <c r="I84" s="36">
        <v>0.15987940442394399</v>
      </c>
    </row>
    <row r="85" spans="1:9" x14ac:dyDescent="0.3">
      <c r="A85" s="105"/>
      <c r="B85" s="34" t="s">
        <v>152</v>
      </c>
      <c r="C85" s="35" t="s">
        <v>309</v>
      </c>
      <c r="D85" s="36">
        <v>9.6516965353670631E-2</v>
      </c>
      <c r="F85" s="105"/>
      <c r="G85" s="34" t="s">
        <v>152</v>
      </c>
      <c r="H85" s="35" t="s">
        <v>310</v>
      </c>
      <c r="I85" s="36">
        <v>0.10720007943421177</v>
      </c>
    </row>
    <row r="86" spans="1:9" x14ac:dyDescent="0.3">
      <c r="A86" s="105"/>
      <c r="B86" s="34" t="s">
        <v>150</v>
      </c>
      <c r="C86" s="35" t="s">
        <v>311</v>
      </c>
      <c r="D86" s="36">
        <v>7.8176595070386531E-2</v>
      </c>
      <c r="F86" s="105"/>
      <c r="G86" s="34" t="s">
        <v>158</v>
      </c>
      <c r="H86" s="35" t="s">
        <v>312</v>
      </c>
      <c r="I86" s="36">
        <v>8.5012659827501391E-2</v>
      </c>
    </row>
    <row r="87" spans="1:9" x14ac:dyDescent="0.3">
      <c r="A87" s="105"/>
      <c r="B87" s="34" t="s">
        <v>160</v>
      </c>
      <c r="C87" s="35" t="s">
        <v>313</v>
      </c>
      <c r="D87" s="36">
        <v>4.2467055828741426E-2</v>
      </c>
      <c r="F87" s="105"/>
      <c r="G87" s="34" t="s">
        <v>127</v>
      </c>
      <c r="H87" s="35" t="s">
        <v>314</v>
      </c>
      <c r="I87" s="36">
        <v>7.4316121083013262E-2</v>
      </c>
    </row>
    <row r="88" spans="1:9" x14ac:dyDescent="0.3">
      <c r="A88" s="105"/>
      <c r="B88" s="34" t="s">
        <v>158</v>
      </c>
      <c r="C88" s="35" t="s">
        <v>315</v>
      </c>
      <c r="D88" s="36">
        <v>3.900140057454226E-2</v>
      </c>
      <c r="F88" s="105"/>
      <c r="G88" s="34" t="s">
        <v>150</v>
      </c>
      <c r="H88" s="35" t="s">
        <v>316</v>
      </c>
      <c r="I88" s="36">
        <v>6.9134844087792857E-2</v>
      </c>
    </row>
    <row r="89" spans="1:9" x14ac:dyDescent="0.3">
      <c r="A89" s="97" t="s">
        <v>100</v>
      </c>
      <c r="B89" s="10" t="s">
        <v>147</v>
      </c>
      <c r="C89" s="38" t="s">
        <v>317</v>
      </c>
      <c r="D89" s="39">
        <v>0.30557612507509813</v>
      </c>
      <c r="F89" s="97" t="s">
        <v>100</v>
      </c>
      <c r="G89" s="10" t="s">
        <v>147</v>
      </c>
      <c r="H89" s="38" t="s">
        <v>318</v>
      </c>
      <c r="I89" s="39">
        <v>0.16054598963144689</v>
      </c>
    </row>
    <row r="90" spans="1:9" x14ac:dyDescent="0.3">
      <c r="A90" s="98"/>
      <c r="B90" s="10" t="s">
        <v>152</v>
      </c>
      <c r="C90" s="38" t="s">
        <v>319</v>
      </c>
      <c r="D90" s="39">
        <v>0.10223128833498665</v>
      </c>
      <c r="F90" s="98"/>
      <c r="G90" s="10" t="s">
        <v>152</v>
      </c>
      <c r="H90" s="38" t="s">
        <v>320</v>
      </c>
      <c r="I90" s="39">
        <v>0.11856445514616429</v>
      </c>
    </row>
    <row r="91" spans="1:9" x14ac:dyDescent="0.3">
      <c r="A91" s="98"/>
      <c r="B91" s="10" t="s">
        <v>150</v>
      </c>
      <c r="C91" s="38" t="s">
        <v>321</v>
      </c>
      <c r="D91" s="39">
        <v>7.1214005281321172E-2</v>
      </c>
      <c r="F91" s="98"/>
      <c r="G91" s="10" t="s">
        <v>158</v>
      </c>
      <c r="H91" s="38" t="s">
        <v>322</v>
      </c>
      <c r="I91" s="39">
        <v>7.9364358224927933E-2</v>
      </c>
    </row>
    <row r="92" spans="1:9" x14ac:dyDescent="0.3">
      <c r="A92" s="98"/>
      <c r="B92" s="10" t="s">
        <v>160</v>
      </c>
      <c r="C92" s="38" t="s">
        <v>323</v>
      </c>
      <c r="D92" s="39">
        <v>4.5911167619074232E-2</v>
      </c>
      <c r="F92" s="98"/>
      <c r="G92" s="10" t="s">
        <v>150</v>
      </c>
      <c r="H92" s="38" t="s">
        <v>324</v>
      </c>
      <c r="I92" s="39">
        <v>7.285246265756011E-2</v>
      </c>
    </row>
    <row r="93" spans="1:9" x14ac:dyDescent="0.3">
      <c r="A93" s="98"/>
      <c r="B93" s="10" t="s">
        <v>171</v>
      </c>
      <c r="C93" s="38" t="s">
        <v>325</v>
      </c>
      <c r="D93" s="39">
        <v>3.2665949450211673E-2</v>
      </c>
      <c r="F93" s="98"/>
      <c r="G93" s="10" t="s">
        <v>127</v>
      </c>
      <c r="H93" s="38" t="s">
        <v>326</v>
      </c>
      <c r="I93" s="39">
        <v>7.2352712532622585E-2</v>
      </c>
    </row>
    <row r="94" spans="1:9" x14ac:dyDescent="0.3">
      <c r="A94" s="104" t="s">
        <v>101</v>
      </c>
      <c r="B94" s="34" t="s">
        <v>147</v>
      </c>
      <c r="C94" s="35" t="s">
        <v>327</v>
      </c>
      <c r="D94" s="36">
        <v>0.31999233194172277</v>
      </c>
      <c r="F94" s="104" t="s">
        <v>101</v>
      </c>
      <c r="G94" s="34" t="s">
        <v>147</v>
      </c>
      <c r="H94" s="35" t="s">
        <v>328</v>
      </c>
      <c r="I94" s="36">
        <v>0.14299803260116425</v>
      </c>
    </row>
    <row r="95" spans="1:9" x14ac:dyDescent="0.3">
      <c r="A95" s="105"/>
      <c r="B95" s="34" t="s">
        <v>150</v>
      </c>
      <c r="C95" s="35" t="s">
        <v>329</v>
      </c>
      <c r="D95" s="36">
        <v>9.5935929113061258E-2</v>
      </c>
      <c r="F95" s="105"/>
      <c r="G95" s="34" t="s">
        <v>152</v>
      </c>
      <c r="H95" s="35" t="s">
        <v>330</v>
      </c>
      <c r="I95" s="36">
        <v>0.10648735857740374</v>
      </c>
    </row>
    <row r="96" spans="1:9" x14ac:dyDescent="0.3">
      <c r="A96" s="105"/>
      <c r="B96" s="34" t="s">
        <v>152</v>
      </c>
      <c r="C96" s="35" t="s">
        <v>331</v>
      </c>
      <c r="D96" s="36">
        <v>8.3336883360313543E-2</v>
      </c>
      <c r="F96" s="105"/>
      <c r="G96" s="34" t="s">
        <v>150</v>
      </c>
      <c r="H96" s="35" t="s">
        <v>332</v>
      </c>
      <c r="I96" s="36">
        <v>9.615977908488138E-2</v>
      </c>
    </row>
    <row r="97" spans="1:9" x14ac:dyDescent="0.3">
      <c r="A97" s="105"/>
      <c r="B97" s="34" t="s">
        <v>156</v>
      </c>
      <c r="C97" s="35" t="s">
        <v>333</v>
      </c>
      <c r="D97" s="36">
        <v>3.090653488966516E-2</v>
      </c>
      <c r="F97" s="105"/>
      <c r="G97" s="34" t="s">
        <v>158</v>
      </c>
      <c r="H97" s="35" t="s">
        <v>334</v>
      </c>
      <c r="I97" s="36">
        <v>8.2827996742918117E-2</v>
      </c>
    </row>
    <row r="98" spans="1:9" x14ac:dyDescent="0.3">
      <c r="A98" s="105"/>
      <c r="B98" s="34" t="s">
        <v>160</v>
      </c>
      <c r="C98" s="35" t="s">
        <v>335</v>
      </c>
      <c r="D98" s="36">
        <v>3.0831984323080857E-2</v>
      </c>
      <c r="F98" s="105"/>
      <c r="G98" s="34" t="s">
        <v>127</v>
      </c>
      <c r="H98" s="35" t="s">
        <v>336</v>
      </c>
      <c r="I98" s="36">
        <v>6.8813441026081945E-2</v>
      </c>
    </row>
    <row r="100" spans="1:9" x14ac:dyDescent="0.3">
      <c r="A100" s="3" t="s">
        <v>337</v>
      </c>
      <c r="B100" s="4"/>
      <c r="C100" s="40"/>
      <c r="D100" s="40"/>
      <c r="F100" s="3" t="s">
        <v>338</v>
      </c>
      <c r="G100" s="4"/>
      <c r="H100" s="40"/>
      <c r="I100" s="40"/>
    </row>
    <row r="101" spans="1:9" s="2" customFormat="1" x14ac:dyDescent="0.3">
      <c r="A101" s="31"/>
      <c r="B101" s="31" t="s">
        <v>144</v>
      </c>
      <c r="C101" s="33" t="s">
        <v>145</v>
      </c>
      <c r="D101" s="33" t="s">
        <v>146</v>
      </c>
      <c r="F101" s="31"/>
      <c r="G101" s="31" t="s">
        <v>144</v>
      </c>
      <c r="H101" s="33" t="s">
        <v>145</v>
      </c>
      <c r="I101" s="33" t="s">
        <v>146</v>
      </c>
    </row>
    <row r="102" spans="1:9" x14ac:dyDescent="0.3">
      <c r="A102" s="104" t="s">
        <v>93</v>
      </c>
      <c r="B102" s="34" t="s">
        <v>147</v>
      </c>
      <c r="C102" s="35" t="s">
        <v>339</v>
      </c>
      <c r="D102" s="36">
        <v>0.35262938230383972</v>
      </c>
      <c r="F102" s="104" t="s">
        <v>93</v>
      </c>
      <c r="G102" s="34" t="s">
        <v>152</v>
      </c>
      <c r="H102" s="35" t="s">
        <v>340</v>
      </c>
      <c r="I102" s="36">
        <v>0.12910808733782378</v>
      </c>
    </row>
    <row r="103" spans="1:9" x14ac:dyDescent="0.3">
      <c r="A103" s="105"/>
      <c r="B103" s="34" t="s">
        <v>150</v>
      </c>
      <c r="C103" s="35" t="s">
        <v>341</v>
      </c>
      <c r="D103" s="36">
        <v>0.11252086811352253</v>
      </c>
      <c r="F103" s="105"/>
      <c r="G103" s="34" t="s">
        <v>150</v>
      </c>
      <c r="H103" s="35" t="s">
        <v>342</v>
      </c>
      <c r="I103" s="36">
        <v>9.5068034898964787E-2</v>
      </c>
    </row>
    <row r="104" spans="1:9" x14ac:dyDescent="0.3">
      <c r="A104" s="105"/>
      <c r="B104" s="34" t="s">
        <v>152</v>
      </c>
      <c r="C104" s="35" t="s">
        <v>343</v>
      </c>
      <c r="D104" s="36">
        <v>7.7504173622704509E-2</v>
      </c>
      <c r="F104" s="105"/>
      <c r="G104" s="34" t="s">
        <v>125</v>
      </c>
      <c r="H104" s="35" t="s">
        <v>344</v>
      </c>
      <c r="I104" s="36">
        <v>7.9743230414538221E-2</v>
      </c>
    </row>
    <row r="105" spans="1:9" x14ac:dyDescent="0.3">
      <c r="A105" s="105"/>
      <c r="B105" s="34" t="s">
        <v>156</v>
      </c>
      <c r="C105" s="35" t="s">
        <v>345</v>
      </c>
      <c r="D105" s="36">
        <v>5.8848080133555927E-2</v>
      </c>
      <c r="F105" s="105"/>
      <c r="G105" s="34" t="s">
        <v>124</v>
      </c>
      <c r="H105" s="35" t="s">
        <v>346</v>
      </c>
      <c r="I105" s="36">
        <v>7.8680891460603045E-2</v>
      </c>
    </row>
    <row r="106" spans="1:9" x14ac:dyDescent="0.3">
      <c r="A106" s="105"/>
      <c r="B106" s="34" t="s">
        <v>347</v>
      </c>
      <c r="C106" s="35" t="s">
        <v>348</v>
      </c>
      <c r="D106" s="36">
        <v>4.945742904841402E-2</v>
      </c>
      <c r="F106" s="105"/>
      <c r="G106" s="34" t="s">
        <v>158</v>
      </c>
      <c r="H106" s="35" t="s">
        <v>349</v>
      </c>
      <c r="I106" s="36">
        <v>7.4634962253062695E-2</v>
      </c>
    </row>
    <row r="107" spans="1:9" x14ac:dyDescent="0.3">
      <c r="A107" s="97" t="s">
        <v>94</v>
      </c>
      <c r="B107" s="10" t="s">
        <v>147</v>
      </c>
      <c r="C107" s="38" t="s">
        <v>350</v>
      </c>
      <c r="D107" s="39">
        <v>0.39834944076446954</v>
      </c>
      <c r="F107" s="97" t="s">
        <v>94</v>
      </c>
      <c r="G107" s="10" t="s">
        <v>152</v>
      </c>
      <c r="H107" s="38" t="s">
        <v>351</v>
      </c>
      <c r="I107" s="39">
        <v>0.18204390913025301</v>
      </c>
    </row>
    <row r="108" spans="1:9" x14ac:dyDescent="0.3">
      <c r="A108" s="98"/>
      <c r="B108" s="10" t="s">
        <v>152</v>
      </c>
      <c r="C108" s="38" t="s">
        <v>352</v>
      </c>
      <c r="D108" s="39">
        <v>0.10300792702790748</v>
      </c>
      <c r="F108" s="98"/>
      <c r="G108" s="10" t="s">
        <v>158</v>
      </c>
      <c r="H108" s="38" t="s">
        <v>353</v>
      </c>
      <c r="I108" s="39">
        <v>8.5265574684398548E-2</v>
      </c>
    </row>
    <row r="109" spans="1:9" x14ac:dyDescent="0.3">
      <c r="A109" s="98"/>
      <c r="B109" s="10" t="s">
        <v>150</v>
      </c>
      <c r="C109" s="38" t="s">
        <v>354</v>
      </c>
      <c r="D109" s="39">
        <v>9.3973287001846026E-2</v>
      </c>
      <c r="F109" s="98"/>
      <c r="G109" s="10" t="s">
        <v>127</v>
      </c>
      <c r="H109" s="38" t="s">
        <v>355</v>
      </c>
      <c r="I109" s="39">
        <v>8.4469694191172701E-2</v>
      </c>
    </row>
    <row r="110" spans="1:9" x14ac:dyDescent="0.3">
      <c r="A110" s="98"/>
      <c r="B110" s="10" t="s">
        <v>156</v>
      </c>
      <c r="C110" s="38" t="s">
        <v>356</v>
      </c>
      <c r="D110" s="39">
        <v>3.86578347268976E-2</v>
      </c>
      <c r="F110" s="98"/>
      <c r="G110" s="10" t="s">
        <v>150</v>
      </c>
      <c r="H110" s="38" t="s">
        <v>357</v>
      </c>
      <c r="I110" s="39">
        <v>8.3772840303094759E-2</v>
      </c>
    </row>
    <row r="111" spans="1:9" x14ac:dyDescent="0.3">
      <c r="A111" s="98"/>
      <c r="B111" s="10" t="s">
        <v>347</v>
      </c>
      <c r="C111" s="38" t="s">
        <v>358</v>
      </c>
      <c r="D111" s="39">
        <v>3.4835487023563906E-2</v>
      </c>
      <c r="F111" s="98"/>
      <c r="G111" s="10" t="s">
        <v>124</v>
      </c>
      <c r="H111" s="38" t="s">
        <v>359</v>
      </c>
      <c r="I111" s="39">
        <v>6.8522743110315643E-2</v>
      </c>
    </row>
    <row r="112" spans="1:9" x14ac:dyDescent="0.3">
      <c r="A112" s="104" t="s">
        <v>95</v>
      </c>
      <c r="B112" s="34" t="s">
        <v>147</v>
      </c>
      <c r="C112" s="35" t="s">
        <v>360</v>
      </c>
      <c r="D112" s="36">
        <v>0.37429263170176769</v>
      </c>
      <c r="F112" s="104" t="s">
        <v>95</v>
      </c>
      <c r="G112" s="34" t="s">
        <v>152</v>
      </c>
      <c r="H112" s="35" t="s">
        <v>361</v>
      </c>
      <c r="I112" s="36">
        <v>0.13219198500915633</v>
      </c>
    </row>
    <row r="113" spans="1:9" x14ac:dyDescent="0.3">
      <c r="A113" s="105"/>
      <c r="B113" s="34" t="s">
        <v>150</v>
      </c>
      <c r="C113" s="35" t="s">
        <v>362</v>
      </c>
      <c r="D113" s="36">
        <v>0.11208505921474826</v>
      </c>
      <c r="F113" s="105"/>
      <c r="G113" s="34" t="s">
        <v>150</v>
      </c>
      <c r="H113" s="35" t="s">
        <v>363</v>
      </c>
      <c r="I113" s="36">
        <v>9.7617932228894283E-2</v>
      </c>
    </row>
    <row r="114" spans="1:9" x14ac:dyDescent="0.3">
      <c r="A114" s="105"/>
      <c r="B114" s="34" t="s">
        <v>152</v>
      </c>
      <c r="C114" s="35" t="s">
        <v>364</v>
      </c>
      <c r="D114" s="36">
        <v>7.7752173152091472E-2</v>
      </c>
      <c r="F114" s="105"/>
      <c r="G114" s="34" t="s">
        <v>158</v>
      </c>
      <c r="H114" s="35" t="s">
        <v>365</v>
      </c>
      <c r="I114" s="36">
        <v>8.1242990786877328E-2</v>
      </c>
    </row>
    <row r="115" spans="1:9" x14ac:dyDescent="0.3">
      <c r="A115" s="105"/>
      <c r="B115" s="34" t="s">
        <v>156</v>
      </c>
      <c r="C115" s="35" t="s">
        <v>366</v>
      </c>
      <c r="D115" s="36">
        <v>5.1149291173210432E-2</v>
      </c>
      <c r="F115" s="105"/>
      <c r="G115" s="34" t="s">
        <v>125</v>
      </c>
      <c r="H115" s="35" t="s">
        <v>367</v>
      </c>
      <c r="I115" s="36">
        <v>7.083741464730349E-2</v>
      </c>
    </row>
    <row r="116" spans="1:9" x14ac:dyDescent="0.3">
      <c r="A116" s="105"/>
      <c r="B116" s="34" t="s">
        <v>347</v>
      </c>
      <c r="C116" s="35" t="s">
        <v>368</v>
      </c>
      <c r="D116" s="36">
        <v>4.4221457324543495E-2</v>
      </c>
      <c r="F116" s="105"/>
      <c r="G116" s="34" t="s">
        <v>124</v>
      </c>
      <c r="H116" s="35" t="s">
        <v>369</v>
      </c>
      <c r="I116" s="36">
        <v>6.9921780730519717E-2</v>
      </c>
    </row>
    <row r="117" spans="1:9" x14ac:dyDescent="0.3">
      <c r="A117" s="97" t="s">
        <v>96</v>
      </c>
      <c r="B117" s="10" t="s">
        <v>147</v>
      </c>
      <c r="C117" s="38" t="s">
        <v>370</v>
      </c>
      <c r="D117" s="39">
        <v>0.39139330737245065</v>
      </c>
      <c r="F117" s="97" t="s">
        <v>96</v>
      </c>
      <c r="G117" s="10" t="s">
        <v>152</v>
      </c>
      <c r="H117" s="38" t="s">
        <v>371</v>
      </c>
      <c r="I117" s="39">
        <v>0.16907559237032654</v>
      </c>
    </row>
    <row r="118" spans="1:9" x14ac:dyDescent="0.3">
      <c r="A118" s="98"/>
      <c r="B118" s="10" t="s">
        <v>150</v>
      </c>
      <c r="C118" s="38" t="s">
        <v>372</v>
      </c>
      <c r="D118" s="39">
        <v>0.10958022572767474</v>
      </c>
      <c r="F118" s="98"/>
      <c r="G118" s="10" t="s">
        <v>150</v>
      </c>
      <c r="H118" s="38" t="s">
        <v>373</v>
      </c>
      <c r="I118" s="39">
        <v>9.1516637083368546E-2</v>
      </c>
    </row>
    <row r="119" spans="1:9" x14ac:dyDescent="0.3">
      <c r="A119" s="98"/>
      <c r="B119" s="10" t="s">
        <v>152</v>
      </c>
      <c r="C119" s="38" t="s">
        <v>374</v>
      </c>
      <c r="D119" s="39">
        <v>9.3096165269619169E-2</v>
      </c>
      <c r="F119" s="98"/>
      <c r="G119" s="10" t="s">
        <v>158</v>
      </c>
      <c r="H119" s="38" t="s">
        <v>375</v>
      </c>
      <c r="I119" s="39">
        <v>8.380056161308802E-2</v>
      </c>
    </row>
    <row r="120" spans="1:9" x14ac:dyDescent="0.3">
      <c r="A120" s="98"/>
      <c r="B120" s="10" t="s">
        <v>156</v>
      </c>
      <c r="C120" s="38" t="s">
        <v>376</v>
      </c>
      <c r="D120" s="39">
        <v>4.1606164609596728E-2</v>
      </c>
      <c r="F120" s="98"/>
      <c r="G120" s="10" t="s">
        <v>127</v>
      </c>
      <c r="H120" s="38" t="s">
        <v>377</v>
      </c>
      <c r="I120" s="39">
        <v>7.6719353111881217E-2</v>
      </c>
    </row>
    <row r="121" spans="1:9" x14ac:dyDescent="0.3">
      <c r="A121" s="98"/>
      <c r="B121" s="10" t="s">
        <v>347</v>
      </c>
      <c r="C121" s="38" t="s">
        <v>378</v>
      </c>
      <c r="D121" s="39">
        <v>3.2019338657514357E-2</v>
      </c>
      <c r="F121" s="98"/>
      <c r="G121" s="10" t="s">
        <v>124</v>
      </c>
      <c r="H121" s="38" t="s">
        <v>379</v>
      </c>
      <c r="I121" s="39">
        <v>6.5727514345551699E-2</v>
      </c>
    </row>
    <row r="122" spans="1:9" x14ac:dyDescent="0.3">
      <c r="A122" s="104" t="s">
        <v>97</v>
      </c>
      <c r="B122" s="34" t="s">
        <v>147</v>
      </c>
      <c r="C122" s="35" t="s">
        <v>380</v>
      </c>
      <c r="D122" s="36">
        <v>0.3829128826101581</v>
      </c>
      <c r="F122" s="104" t="s">
        <v>97</v>
      </c>
      <c r="G122" s="34" t="s">
        <v>152</v>
      </c>
      <c r="H122" s="35" t="s">
        <v>381</v>
      </c>
      <c r="I122" s="36">
        <v>0.13732766582470041</v>
      </c>
    </row>
    <row r="123" spans="1:9" x14ac:dyDescent="0.3">
      <c r="A123" s="105"/>
      <c r="B123" s="34" t="s">
        <v>150</v>
      </c>
      <c r="C123" s="35" t="s">
        <v>382</v>
      </c>
      <c r="D123" s="36">
        <v>9.4759502186343755E-2</v>
      </c>
      <c r="F123" s="105"/>
      <c r="G123" s="34" t="s">
        <v>150</v>
      </c>
      <c r="H123" s="35" t="s">
        <v>383</v>
      </c>
      <c r="I123" s="36">
        <v>8.9947590381555378E-2</v>
      </c>
    </row>
    <row r="124" spans="1:9" x14ac:dyDescent="0.3">
      <c r="A124" s="105"/>
      <c r="B124" s="34" t="s">
        <v>152</v>
      </c>
      <c r="C124" s="35" t="s">
        <v>384</v>
      </c>
      <c r="D124" s="36">
        <v>8.3807601749075006E-2</v>
      </c>
      <c r="F124" s="105"/>
      <c r="G124" s="34" t="s">
        <v>158</v>
      </c>
      <c r="H124" s="35" t="s">
        <v>385</v>
      </c>
      <c r="I124" s="36">
        <v>8.3855389511399925E-2</v>
      </c>
    </row>
    <row r="125" spans="1:9" x14ac:dyDescent="0.3">
      <c r="A125" s="105"/>
      <c r="B125" s="34" t="s">
        <v>156</v>
      </c>
      <c r="C125" s="35" t="s">
        <v>386</v>
      </c>
      <c r="D125" s="36">
        <v>5.0050454086781028E-2</v>
      </c>
      <c r="F125" s="105"/>
      <c r="G125" s="34" t="s">
        <v>124</v>
      </c>
      <c r="H125" s="35" t="s">
        <v>387</v>
      </c>
      <c r="I125" s="36">
        <v>7.2227353147358939E-2</v>
      </c>
    </row>
    <row r="126" spans="1:9" x14ac:dyDescent="0.3">
      <c r="A126" s="105"/>
      <c r="B126" s="34" t="s">
        <v>347</v>
      </c>
      <c r="C126" s="35" t="s">
        <v>388</v>
      </c>
      <c r="D126" s="36">
        <v>4.7332660612176253E-2</v>
      </c>
      <c r="F126" s="105"/>
      <c r="G126" s="34" t="s">
        <v>125</v>
      </c>
      <c r="H126" s="35" t="s">
        <v>389</v>
      </c>
      <c r="I126" s="36">
        <v>7.103673124214134E-2</v>
      </c>
    </row>
    <row r="127" spans="1:9" x14ac:dyDescent="0.3">
      <c r="A127" s="97" t="s">
        <v>98</v>
      </c>
      <c r="B127" s="10" t="s">
        <v>147</v>
      </c>
      <c r="C127" s="38" t="s">
        <v>390</v>
      </c>
      <c r="D127" s="39">
        <v>0.38669692586208387</v>
      </c>
      <c r="F127" s="97" t="s">
        <v>98</v>
      </c>
      <c r="G127" s="10" t="s">
        <v>152</v>
      </c>
      <c r="H127" s="38" t="s">
        <v>391</v>
      </c>
      <c r="I127" s="39">
        <v>0.17010878484752087</v>
      </c>
    </row>
    <row r="128" spans="1:9" x14ac:dyDescent="0.3">
      <c r="A128" s="98"/>
      <c r="B128" s="10" t="s">
        <v>150</v>
      </c>
      <c r="C128" s="38" t="s">
        <v>392</v>
      </c>
      <c r="D128" s="39">
        <v>0.12060945715349901</v>
      </c>
      <c r="F128" s="98"/>
      <c r="G128" s="10" t="s">
        <v>150</v>
      </c>
      <c r="H128" s="38" t="s">
        <v>393</v>
      </c>
      <c r="I128" s="39">
        <v>9.3829716964884513E-2</v>
      </c>
    </row>
    <row r="129" spans="1:9" x14ac:dyDescent="0.3">
      <c r="A129" s="98"/>
      <c r="B129" s="10" t="s">
        <v>152</v>
      </c>
      <c r="C129" s="38" t="s">
        <v>394</v>
      </c>
      <c r="D129" s="39">
        <v>8.9963359810129317E-2</v>
      </c>
      <c r="F129" s="98"/>
      <c r="G129" s="10" t="s">
        <v>158</v>
      </c>
      <c r="H129" s="38" t="s">
        <v>395</v>
      </c>
      <c r="I129" s="39">
        <v>8.3050514342215373E-2</v>
      </c>
    </row>
    <row r="130" spans="1:9" x14ac:dyDescent="0.3">
      <c r="A130" s="98"/>
      <c r="B130" s="10" t="s">
        <v>156</v>
      </c>
      <c r="C130" s="38" t="s">
        <v>396</v>
      </c>
      <c r="D130" s="39">
        <v>4.1837379923254828E-2</v>
      </c>
      <c r="F130" s="98"/>
      <c r="G130" s="10" t="s">
        <v>127</v>
      </c>
      <c r="H130" s="38" t="s">
        <v>397</v>
      </c>
      <c r="I130" s="39">
        <v>7.6566783441361752E-2</v>
      </c>
    </row>
    <row r="131" spans="1:9" x14ac:dyDescent="0.3">
      <c r="A131" s="98"/>
      <c r="B131" s="10" t="s">
        <v>240</v>
      </c>
      <c r="C131" s="38" t="s">
        <v>398</v>
      </c>
      <c r="D131" s="39">
        <v>3.2109972541512558E-2</v>
      </c>
      <c r="F131" s="98"/>
      <c r="G131" s="10" t="s">
        <v>124</v>
      </c>
      <c r="H131" s="38" t="s">
        <v>399</v>
      </c>
      <c r="I131" s="39">
        <v>6.4557698113436923E-2</v>
      </c>
    </row>
    <row r="132" spans="1:9" x14ac:dyDescent="0.3">
      <c r="A132" s="104" t="s">
        <v>99</v>
      </c>
      <c r="B132" s="34" t="s">
        <v>147</v>
      </c>
      <c r="C132" s="35" t="s">
        <v>400</v>
      </c>
      <c r="D132" s="36">
        <v>0.39527739662905242</v>
      </c>
      <c r="F132" s="104" t="s">
        <v>99</v>
      </c>
      <c r="G132" s="34" t="s">
        <v>152</v>
      </c>
      <c r="H132" s="35" t="s">
        <v>401</v>
      </c>
      <c r="I132" s="36">
        <v>0.14950052864810526</v>
      </c>
    </row>
    <row r="133" spans="1:9" x14ac:dyDescent="0.3">
      <c r="A133" s="105"/>
      <c r="B133" s="34" t="s">
        <v>152</v>
      </c>
      <c r="C133" s="35" t="s">
        <v>402</v>
      </c>
      <c r="D133" s="36">
        <v>9.1298203936185457E-2</v>
      </c>
      <c r="F133" s="105"/>
      <c r="G133" s="34" t="s">
        <v>158</v>
      </c>
      <c r="H133" s="35" t="s">
        <v>403</v>
      </c>
      <c r="I133" s="36">
        <v>8.8685775032787739E-2</v>
      </c>
    </row>
    <row r="134" spans="1:9" x14ac:dyDescent="0.3">
      <c r="A134" s="105"/>
      <c r="B134" s="34" t="s">
        <v>150</v>
      </c>
      <c r="C134" s="35" t="s">
        <v>404</v>
      </c>
      <c r="D134" s="36">
        <v>9.0601896414016267E-2</v>
      </c>
      <c r="F134" s="105"/>
      <c r="G134" s="34" t="s">
        <v>150</v>
      </c>
      <c r="H134" s="35" t="s">
        <v>405</v>
      </c>
      <c r="I134" s="36">
        <v>8.0256293223482378E-2</v>
      </c>
    </row>
    <row r="135" spans="1:9" x14ac:dyDescent="0.3">
      <c r="A135" s="105"/>
      <c r="B135" s="34" t="s">
        <v>156</v>
      </c>
      <c r="C135" s="35" t="s">
        <v>406</v>
      </c>
      <c r="D135" s="36">
        <v>4.4686559216858837E-2</v>
      </c>
      <c r="F135" s="105"/>
      <c r="G135" s="34" t="s">
        <v>124</v>
      </c>
      <c r="H135" s="35" t="s">
        <v>407</v>
      </c>
      <c r="I135" s="36">
        <v>7.6859079170109132E-2</v>
      </c>
    </row>
    <row r="136" spans="1:9" x14ac:dyDescent="0.3">
      <c r="A136" s="105"/>
      <c r="B136" s="34" t="s">
        <v>347</v>
      </c>
      <c r="C136" s="35" t="s">
        <v>408</v>
      </c>
      <c r="D136" s="36">
        <v>4.3683057199614982E-2</v>
      </c>
      <c r="F136" s="105"/>
      <c r="G136" s="34" t="s">
        <v>127</v>
      </c>
      <c r="H136" s="35" t="s">
        <v>409</v>
      </c>
      <c r="I136" s="36">
        <v>7.2358348306881676E-2</v>
      </c>
    </row>
    <row r="137" spans="1:9" x14ac:dyDescent="0.3">
      <c r="A137" s="97" t="s">
        <v>100</v>
      </c>
      <c r="B137" s="10" t="s">
        <v>147</v>
      </c>
      <c r="C137" s="38" t="s">
        <v>410</v>
      </c>
      <c r="D137" s="39">
        <v>0.39412791537058184</v>
      </c>
      <c r="F137" s="97" t="s">
        <v>100</v>
      </c>
      <c r="G137" s="10" t="s">
        <v>152</v>
      </c>
      <c r="H137" s="38" t="s">
        <v>411</v>
      </c>
      <c r="I137" s="39">
        <v>0.1711961699695122</v>
      </c>
    </row>
    <row r="138" spans="1:9" x14ac:dyDescent="0.3">
      <c r="A138" s="98"/>
      <c r="B138" s="10" t="s">
        <v>152</v>
      </c>
      <c r="C138" s="38" t="s">
        <v>412</v>
      </c>
      <c r="D138" s="39">
        <v>9.6376212413539664E-2</v>
      </c>
      <c r="F138" s="98"/>
      <c r="G138" s="10" t="s">
        <v>150</v>
      </c>
      <c r="H138" s="38" t="s">
        <v>413</v>
      </c>
      <c r="I138" s="39">
        <v>9.0692287538109762E-2</v>
      </c>
    </row>
    <row r="139" spans="1:9" x14ac:dyDescent="0.3">
      <c r="A139" s="98"/>
      <c r="B139" s="10" t="s">
        <v>150</v>
      </c>
      <c r="C139" s="38" t="s">
        <v>414</v>
      </c>
      <c r="D139" s="39">
        <v>9.1086873777742772E-2</v>
      </c>
      <c r="F139" s="98"/>
      <c r="G139" s="10" t="s">
        <v>158</v>
      </c>
      <c r="H139" s="38" t="s">
        <v>415</v>
      </c>
      <c r="I139" s="39">
        <v>8.320431592987805E-2</v>
      </c>
    </row>
    <row r="140" spans="1:9" x14ac:dyDescent="0.3">
      <c r="A140" s="98"/>
      <c r="B140" s="10" t="s">
        <v>156</v>
      </c>
      <c r="C140" s="38" t="s">
        <v>416</v>
      </c>
      <c r="D140" s="39">
        <v>4.7184050609652056E-2</v>
      </c>
      <c r="F140" s="98"/>
      <c r="G140" s="10" t="s">
        <v>127</v>
      </c>
      <c r="H140" s="38" t="s">
        <v>417</v>
      </c>
      <c r="I140" s="39">
        <v>7.6165920350609762E-2</v>
      </c>
    </row>
    <row r="141" spans="1:9" x14ac:dyDescent="0.3">
      <c r="A141" s="98"/>
      <c r="B141" s="10" t="s">
        <v>347</v>
      </c>
      <c r="C141" s="38" t="s">
        <v>418</v>
      </c>
      <c r="D141" s="39">
        <v>4.2918454935622317E-2</v>
      </c>
      <c r="F141" s="98"/>
      <c r="G141" s="10" t="s">
        <v>124</v>
      </c>
      <c r="H141" s="38" t="s">
        <v>419</v>
      </c>
      <c r="I141" s="39">
        <v>6.8484422637195119E-2</v>
      </c>
    </row>
    <row r="142" spans="1:9" x14ac:dyDescent="0.3">
      <c r="A142" s="104" t="s">
        <v>101</v>
      </c>
      <c r="B142" s="34" t="s">
        <v>147</v>
      </c>
      <c r="C142" s="35" t="s">
        <v>420</v>
      </c>
      <c r="D142" s="36">
        <v>0.3671392389424265</v>
      </c>
      <c r="F142" s="104" t="s">
        <v>101</v>
      </c>
      <c r="G142" s="34" t="s">
        <v>152</v>
      </c>
      <c r="H142" s="35" t="s">
        <v>421</v>
      </c>
      <c r="I142" s="36">
        <v>0.153737083602108</v>
      </c>
    </row>
    <row r="143" spans="1:9" x14ac:dyDescent="0.3">
      <c r="A143" s="105"/>
      <c r="B143" s="34" t="s">
        <v>150</v>
      </c>
      <c r="C143" s="35" t="s">
        <v>422</v>
      </c>
      <c r="D143" s="36">
        <v>0.14830429948109711</v>
      </c>
      <c r="F143" s="105"/>
      <c r="G143" s="34" t="s">
        <v>150</v>
      </c>
      <c r="H143" s="35" t="s">
        <v>423</v>
      </c>
      <c r="I143" s="36">
        <v>0.1102929542494797</v>
      </c>
    </row>
    <row r="144" spans="1:9" x14ac:dyDescent="0.3">
      <c r="A144" s="105"/>
      <c r="B144" s="34" t="s">
        <v>152</v>
      </c>
      <c r="C144" s="35" t="s">
        <v>424</v>
      </c>
      <c r="D144" s="36">
        <v>7.4345193970842605E-2</v>
      </c>
      <c r="F144" s="105"/>
      <c r="G144" s="34" t="s">
        <v>158</v>
      </c>
      <c r="H144" s="35" t="s">
        <v>425</v>
      </c>
      <c r="I144" s="36">
        <v>7.7680951279773133E-2</v>
      </c>
    </row>
    <row r="145" spans="1:9" x14ac:dyDescent="0.3">
      <c r="A145" s="105"/>
      <c r="B145" s="34" t="s">
        <v>156</v>
      </c>
      <c r="C145" s="35" t="s">
        <v>426</v>
      </c>
      <c r="D145" s="36">
        <v>4.2824932048430936E-2</v>
      </c>
      <c r="F145" s="105"/>
      <c r="G145" s="34" t="s">
        <v>127</v>
      </c>
      <c r="H145" s="35" t="s">
        <v>427</v>
      </c>
      <c r="I145" s="36">
        <v>6.4487664763944838E-2</v>
      </c>
    </row>
    <row r="146" spans="1:9" x14ac:dyDescent="0.3">
      <c r="A146" s="105"/>
      <c r="B146" s="34" t="s">
        <v>240</v>
      </c>
      <c r="C146" s="35" t="s">
        <v>428</v>
      </c>
      <c r="D146" s="36">
        <v>4.2176303434642945E-2</v>
      </c>
      <c r="F146" s="105"/>
      <c r="G146" s="34" t="s">
        <v>429</v>
      </c>
      <c r="H146" s="35" t="s">
        <v>430</v>
      </c>
      <c r="I146" s="36">
        <v>5.9753173569611628E-2</v>
      </c>
    </row>
  </sheetData>
  <mergeCells count="56">
    <mergeCell ref="A142:A146"/>
    <mergeCell ref="F142:F146"/>
    <mergeCell ref="A127:A131"/>
    <mergeCell ref="F127:F131"/>
    <mergeCell ref="A132:A136"/>
    <mergeCell ref="F132:F136"/>
    <mergeCell ref="A137:A141"/>
    <mergeCell ref="F137:F141"/>
    <mergeCell ref="A112:A116"/>
    <mergeCell ref="F112:F116"/>
    <mergeCell ref="A117:A121"/>
    <mergeCell ref="F117:F121"/>
    <mergeCell ref="A122:A126"/>
    <mergeCell ref="F122:F126"/>
    <mergeCell ref="A94:A98"/>
    <mergeCell ref="F94:F98"/>
    <mergeCell ref="A102:A106"/>
    <mergeCell ref="F102:F106"/>
    <mergeCell ref="A107:A111"/>
    <mergeCell ref="F107:F111"/>
    <mergeCell ref="A79:A83"/>
    <mergeCell ref="F79:F83"/>
    <mergeCell ref="A84:A88"/>
    <mergeCell ref="F84:F88"/>
    <mergeCell ref="A89:A93"/>
    <mergeCell ref="F89:F93"/>
    <mergeCell ref="A64:A68"/>
    <mergeCell ref="F64:F68"/>
    <mergeCell ref="A69:A73"/>
    <mergeCell ref="F69:F73"/>
    <mergeCell ref="A74:A78"/>
    <mergeCell ref="F74:F78"/>
    <mergeCell ref="A46:A50"/>
    <mergeCell ref="F46:F50"/>
    <mergeCell ref="A54:A58"/>
    <mergeCell ref="F54:F58"/>
    <mergeCell ref="A59:A63"/>
    <mergeCell ref="F59:F63"/>
    <mergeCell ref="A31:A35"/>
    <mergeCell ref="F31:F35"/>
    <mergeCell ref="A36:A40"/>
    <mergeCell ref="F36:F40"/>
    <mergeCell ref="A41:A45"/>
    <mergeCell ref="F41:F45"/>
    <mergeCell ref="A16:A20"/>
    <mergeCell ref="F16:F20"/>
    <mergeCell ref="A21:A25"/>
    <mergeCell ref="F21:F25"/>
    <mergeCell ref="A26:A30"/>
    <mergeCell ref="F26:F30"/>
    <mergeCell ref="A3:D3"/>
    <mergeCell ref="F3:I3"/>
    <mergeCell ref="A6:A10"/>
    <mergeCell ref="F6:F10"/>
    <mergeCell ref="A11:A15"/>
    <mergeCell ref="F11:F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D3D81-4A7C-410C-9778-49A67AE498CF}">
  <dimension ref="A1:Y137"/>
  <sheetViews>
    <sheetView topLeftCell="B1" zoomScaleNormal="100" workbookViewId="0">
      <selection activeCell="L11" sqref="L11"/>
    </sheetView>
  </sheetViews>
  <sheetFormatPr defaultRowHeight="14.4" x14ac:dyDescent="0.3"/>
  <cols>
    <col min="2" max="2" width="14.5546875" customWidth="1"/>
    <col min="3" max="3" width="11.5546875" customWidth="1"/>
    <col min="4" max="4" width="10.5546875" customWidth="1"/>
    <col min="5" max="5" width="11.6640625" customWidth="1"/>
    <col min="13" max="13" width="13.6640625" customWidth="1"/>
    <col min="15" max="15" width="13.33203125" customWidth="1"/>
    <col min="16" max="16" width="11.5546875" customWidth="1"/>
    <col min="17" max="17" width="10.33203125" customWidth="1"/>
    <col min="18" max="18" width="10.109375" customWidth="1"/>
  </cols>
  <sheetData>
    <row r="1" spans="1:25" ht="28.8" x14ac:dyDescent="0.3">
      <c r="A1" s="53" t="s">
        <v>431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</row>
    <row r="2" spans="1:25" ht="18" x14ac:dyDescent="0.3">
      <c r="A2" s="106" t="s">
        <v>432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55"/>
      <c r="N2" s="106" t="s">
        <v>433</v>
      </c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</row>
    <row r="3" spans="1:25" x14ac:dyDescent="0.3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7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</row>
    <row r="4" spans="1:25" x14ac:dyDescent="0.3">
      <c r="A4" s="2" t="str">
        <f>CONCATENATE("Table 19a. College Enrollment Rates in the First Fall after High School Graduation for Classes ",A6," and ",A7,", School Percentile Distribution")</f>
        <v>Table 19a. College Enrollment Rates in the First Fall after High School Graduation for Classes 2022 and 2023, School Percentile Distribution</v>
      </c>
      <c r="B4" s="58"/>
      <c r="N4" s="2" t="str">
        <f>CONCATENATE("Table 19b. College Enrollment Rates in the First Fall after High School Graduation for Classes ",N6," and ",N7,", School Percentile Distribution")</f>
        <v>Table 19b. College Enrollment Rates in the First Fall after High School Graduation for Classes 2022 and 2023, School Percentile Distribution</v>
      </c>
      <c r="O4" s="58"/>
    </row>
    <row r="5" spans="1:25" ht="28.8" x14ac:dyDescent="0.3">
      <c r="A5" s="59"/>
      <c r="B5" s="60" t="s">
        <v>434</v>
      </c>
      <c r="C5" s="61" t="s">
        <v>435</v>
      </c>
      <c r="D5" s="61" t="s">
        <v>436</v>
      </c>
      <c r="E5" s="61" t="s">
        <v>437</v>
      </c>
      <c r="N5" s="59"/>
      <c r="O5" s="60" t="s">
        <v>434</v>
      </c>
      <c r="P5" s="61" t="s">
        <v>435</v>
      </c>
      <c r="Q5" s="61" t="s">
        <v>436</v>
      </c>
      <c r="R5" s="61" t="s">
        <v>437</v>
      </c>
    </row>
    <row r="6" spans="1:25" x14ac:dyDescent="0.3">
      <c r="A6" s="62">
        <v>2022</v>
      </c>
      <c r="B6" s="60">
        <v>1805</v>
      </c>
      <c r="C6" s="63">
        <v>0.37419354838709679</v>
      </c>
      <c r="D6" s="63">
        <v>0.47682119205298013</v>
      </c>
      <c r="E6" s="63">
        <v>0.6</v>
      </c>
      <c r="G6" s="64"/>
      <c r="I6" s="64"/>
      <c r="N6" s="62">
        <v>2022</v>
      </c>
      <c r="O6" s="60">
        <v>2193</v>
      </c>
      <c r="P6" s="63">
        <v>0.56578947368421051</v>
      </c>
      <c r="Q6" s="63">
        <v>0.68181818181818177</v>
      </c>
      <c r="R6" s="63">
        <v>0.78350515463917525</v>
      </c>
      <c r="T6" s="64"/>
      <c r="V6" s="64"/>
    </row>
    <row r="7" spans="1:25" x14ac:dyDescent="0.3">
      <c r="A7" s="62">
        <v>2023</v>
      </c>
      <c r="B7" s="60">
        <v>1960</v>
      </c>
      <c r="C7" s="63">
        <v>0.35831594714599047</v>
      </c>
      <c r="D7" s="63">
        <v>0.46813253931898002</v>
      </c>
      <c r="E7" s="63">
        <v>0.59624206069160191</v>
      </c>
      <c r="N7" s="62">
        <v>2023</v>
      </c>
      <c r="O7" s="60">
        <v>1593</v>
      </c>
      <c r="P7" s="63">
        <v>0.594392523364486</v>
      </c>
      <c r="Q7" s="63">
        <v>0.70810810810810809</v>
      </c>
      <c r="R7" s="63">
        <v>0.80312499999999998</v>
      </c>
    </row>
    <row r="8" spans="1:25" x14ac:dyDescent="0.3">
      <c r="B8" s="58"/>
      <c r="O8" s="58"/>
    </row>
    <row r="9" spans="1:25" x14ac:dyDescent="0.3">
      <c r="A9" s="2" t="str">
        <f>CONCATENATE("Table 20a. College Enrollment Rates in the First Fall after High School Graduation for Classes ",A11," and ",A12,", Student-Weighted Totals")</f>
        <v>Table 20a. College Enrollment Rates in the First Fall after High School Graduation for Classes 2022 and 2023, Student-Weighted Totals</v>
      </c>
      <c r="B9" s="58"/>
      <c r="N9" s="2" t="str">
        <f>CONCATENATE("Table 20b. College Enrollment Rates in the First Fall after High School Graduation for Classes ",N11," and ",N12,", Student-Weighted Totals")</f>
        <v>Table 20b. College Enrollment Rates in the First Fall after High School Graduation for Classes 2022 and 2023, Student-Weighted Totals</v>
      </c>
      <c r="O9" s="58"/>
    </row>
    <row r="10" spans="1:25" ht="28.8" x14ac:dyDescent="0.3">
      <c r="A10" s="59"/>
      <c r="B10" s="60" t="s">
        <v>438</v>
      </c>
      <c r="C10" s="61" t="s">
        <v>439</v>
      </c>
      <c r="D10" s="61" t="s">
        <v>105</v>
      </c>
      <c r="E10" s="61" t="s">
        <v>106</v>
      </c>
      <c r="F10" s="61" t="s">
        <v>440</v>
      </c>
      <c r="G10" s="61" t="s">
        <v>441</v>
      </c>
      <c r="H10" s="61" t="s">
        <v>442</v>
      </c>
      <c r="I10" s="61" t="s">
        <v>443</v>
      </c>
      <c r="N10" s="59"/>
      <c r="O10" s="60" t="s">
        <v>438</v>
      </c>
      <c r="P10" s="61" t="s">
        <v>439</v>
      </c>
      <c r="Q10" s="61" t="s">
        <v>105</v>
      </c>
      <c r="R10" s="61" t="s">
        <v>106</v>
      </c>
      <c r="S10" s="61" t="s">
        <v>440</v>
      </c>
      <c r="T10" s="61" t="s">
        <v>441</v>
      </c>
      <c r="U10" s="61" t="s">
        <v>442</v>
      </c>
      <c r="V10" s="61" t="s">
        <v>443</v>
      </c>
    </row>
    <row r="11" spans="1:25" x14ac:dyDescent="0.3">
      <c r="A11" s="62">
        <v>2022</v>
      </c>
      <c r="B11" s="60">
        <v>339671</v>
      </c>
      <c r="C11" s="63">
        <v>0.49892101474662248</v>
      </c>
      <c r="D11" s="63">
        <v>0.44823373205248607</v>
      </c>
      <c r="E11" s="63">
        <v>5.0687282694136387E-2</v>
      </c>
      <c r="F11" s="63">
        <v>0.23922265957352851</v>
      </c>
      <c r="G11" s="63">
        <v>0.25969835517309398</v>
      </c>
      <c r="H11" s="63">
        <v>0.45985085568093831</v>
      </c>
      <c r="I11" s="63">
        <v>3.9070159065684146E-2</v>
      </c>
      <c r="N11" s="62">
        <v>2022</v>
      </c>
      <c r="O11" s="60">
        <v>546183</v>
      </c>
      <c r="P11" s="63">
        <v>0.71259266582811986</v>
      </c>
      <c r="Q11" s="63">
        <v>0.56241040090958527</v>
      </c>
      <c r="R11" s="63">
        <v>0.15018226491853462</v>
      </c>
      <c r="S11" s="63">
        <v>0.17081088206699951</v>
      </c>
      <c r="T11" s="63">
        <v>0.54178178376112041</v>
      </c>
      <c r="U11" s="63">
        <v>0.49808580640554539</v>
      </c>
      <c r="V11" s="63">
        <v>0.2145068594225745</v>
      </c>
    </row>
    <row r="12" spans="1:25" x14ac:dyDescent="0.3">
      <c r="A12" s="62">
        <v>2023</v>
      </c>
      <c r="B12" s="60">
        <v>348277</v>
      </c>
      <c r="C12" s="63">
        <v>0.50463567792303254</v>
      </c>
      <c r="D12" s="63">
        <v>0.44522032749793988</v>
      </c>
      <c r="E12" s="63">
        <v>5.9415350425092668E-2</v>
      </c>
      <c r="F12" s="63">
        <v>0.22448797939571088</v>
      </c>
      <c r="G12" s="63">
        <v>0.28014769852732163</v>
      </c>
      <c r="H12" s="63">
        <v>0.46105829555210365</v>
      </c>
      <c r="I12" s="63">
        <v>4.357738237092889E-2</v>
      </c>
      <c r="N12" s="62">
        <v>2023</v>
      </c>
      <c r="O12" s="60">
        <v>387086</v>
      </c>
      <c r="P12" s="63">
        <v>0.732679559581075</v>
      </c>
      <c r="Q12" s="63">
        <v>0.57372263528001533</v>
      </c>
      <c r="R12" s="63">
        <v>0.1589569243010597</v>
      </c>
      <c r="S12" s="63">
        <v>0.14291397777238132</v>
      </c>
      <c r="T12" s="63">
        <v>0.58976558180869365</v>
      </c>
      <c r="U12" s="63">
        <v>0.51322186800865954</v>
      </c>
      <c r="V12" s="63">
        <v>0.21945769157241543</v>
      </c>
    </row>
    <row r="14" spans="1:25" x14ac:dyDescent="0.3">
      <c r="A14">
        <v>2022</v>
      </c>
    </row>
    <row r="15" spans="1:25" x14ac:dyDescent="0.3">
      <c r="A15">
        <v>2023</v>
      </c>
    </row>
    <row r="17" spans="1:1" x14ac:dyDescent="0.3">
      <c r="A17">
        <v>2022</v>
      </c>
    </row>
    <row r="18" spans="1:1" x14ac:dyDescent="0.3">
      <c r="A18">
        <v>2023</v>
      </c>
    </row>
    <row r="33" spans="1:22" x14ac:dyDescent="0.3">
      <c r="A33" s="65" t="str">
        <f>CONCATENATE("Table 21a. College Enrollment Rates in the First Year after High School Graduation for Classes ",A35," and ",A36,", School Percentile Distribution")</f>
        <v>Table 21a. College Enrollment Rates in the First Year after High School Graduation for Classes 2021 and 2022, School Percentile Distribution</v>
      </c>
      <c r="B33" s="58"/>
      <c r="N33" s="65" t="str">
        <f>CONCATENATE("Table 21b. College Enrollment Rates in the First Year after High School Graduation for Classes ",N35," and ",N36,", School Percentile Distribution")</f>
        <v>Table 21b. College Enrollment Rates in the First Year after High School Graduation for Classes 2021 and 2022, School Percentile Distribution</v>
      </c>
      <c r="O33" s="58"/>
    </row>
    <row r="34" spans="1:22" ht="28.8" x14ac:dyDescent="0.3">
      <c r="A34" s="59"/>
      <c r="B34" s="60" t="s">
        <v>434</v>
      </c>
      <c r="C34" s="60" t="s">
        <v>435</v>
      </c>
      <c r="D34" s="60" t="s">
        <v>436</v>
      </c>
      <c r="E34" s="60" t="s">
        <v>437</v>
      </c>
      <c r="N34" s="59"/>
      <c r="O34" s="60" t="s">
        <v>434</v>
      </c>
      <c r="P34" s="60" t="s">
        <v>435</v>
      </c>
      <c r="Q34" s="60" t="s">
        <v>436</v>
      </c>
      <c r="R34" s="60" t="s">
        <v>437</v>
      </c>
    </row>
    <row r="35" spans="1:22" x14ac:dyDescent="0.3">
      <c r="A35" s="62">
        <v>2021</v>
      </c>
      <c r="B35" s="60">
        <v>1759</v>
      </c>
      <c r="C35" s="63">
        <v>0.3910891089108911</v>
      </c>
      <c r="D35" s="63">
        <v>0.5</v>
      </c>
      <c r="E35" s="63">
        <v>0.6071428571428571</v>
      </c>
      <c r="N35" s="62">
        <v>2021</v>
      </c>
      <c r="O35" s="60">
        <v>1683</v>
      </c>
      <c r="P35" s="63">
        <v>0.63076923076923075</v>
      </c>
      <c r="Q35" s="63">
        <v>0.73880597014925375</v>
      </c>
      <c r="R35" s="63">
        <v>0.82442748091603058</v>
      </c>
    </row>
    <row r="36" spans="1:22" x14ac:dyDescent="0.3">
      <c r="A36" s="62">
        <v>2022</v>
      </c>
      <c r="B36" s="60">
        <v>1805</v>
      </c>
      <c r="C36" s="63">
        <v>0.40740740740740738</v>
      </c>
      <c r="D36" s="63">
        <v>0.51105651105651106</v>
      </c>
      <c r="E36" s="63">
        <v>0.63551401869158874</v>
      </c>
      <c r="N36" s="62">
        <v>2022</v>
      </c>
      <c r="O36" s="60">
        <v>2193</v>
      </c>
      <c r="P36" s="63">
        <v>0.59717314487632511</v>
      </c>
      <c r="Q36" s="63">
        <v>0.71052631578947367</v>
      </c>
      <c r="R36" s="63">
        <v>0.80952380952380953</v>
      </c>
    </row>
    <row r="37" spans="1:22" x14ac:dyDescent="0.3">
      <c r="B37" s="58"/>
      <c r="O37" s="58"/>
    </row>
    <row r="38" spans="1:22" x14ac:dyDescent="0.3">
      <c r="A38" s="65" t="str">
        <f>CONCATENATE("Table 22a. College Enrollment Rates in the First Year after High School Graduation for Classes ",A40," and ",A41,", Student-Weighted Totals")</f>
        <v>Table 22a. College Enrollment Rates in the First Year after High School Graduation for Classes 2021 and 2022, Student-Weighted Totals</v>
      </c>
      <c r="B38" s="58"/>
      <c r="N38" s="65" t="str">
        <f>CONCATENATE("Table 22b. College Enrollment Rates in the First Year after High School Graduation for Classes ",N40," and ",N41,", Student-Weighted Totals")</f>
        <v>Table 22b. College Enrollment Rates in the First Year after High School Graduation for Classes 2021 and 2022, Student-Weighted Totals</v>
      </c>
      <c r="O38" s="58"/>
    </row>
    <row r="39" spans="1:22" ht="28.8" x14ac:dyDescent="0.3">
      <c r="A39" s="59"/>
      <c r="B39" s="60" t="s">
        <v>438</v>
      </c>
      <c r="C39" s="61" t="s">
        <v>439</v>
      </c>
      <c r="D39" s="61" t="s">
        <v>105</v>
      </c>
      <c r="E39" s="61" t="s">
        <v>106</v>
      </c>
      <c r="F39" s="61" t="s">
        <v>440</v>
      </c>
      <c r="G39" s="61" t="s">
        <v>441</v>
      </c>
      <c r="H39" s="61" t="s">
        <v>442</v>
      </c>
      <c r="I39" s="61" t="s">
        <v>443</v>
      </c>
      <c r="N39" s="59"/>
      <c r="O39" s="60" t="s">
        <v>438</v>
      </c>
      <c r="P39" s="61" t="s">
        <v>439</v>
      </c>
      <c r="Q39" s="61" t="s">
        <v>105</v>
      </c>
      <c r="R39" s="61" t="s">
        <v>106</v>
      </c>
      <c r="S39" s="61" t="s">
        <v>440</v>
      </c>
      <c r="T39" s="61" t="s">
        <v>441</v>
      </c>
      <c r="U39" s="61" t="s">
        <v>442</v>
      </c>
      <c r="V39" s="61" t="s">
        <v>443</v>
      </c>
    </row>
    <row r="40" spans="1:22" x14ac:dyDescent="0.3">
      <c r="A40" s="62">
        <v>2021</v>
      </c>
      <c r="B40" s="60">
        <v>335023</v>
      </c>
      <c r="C40" s="63">
        <v>0.50504592222026545</v>
      </c>
      <c r="D40" s="63">
        <v>0.45199284825220953</v>
      </c>
      <c r="E40" s="63">
        <v>5.3053073968055926E-2</v>
      </c>
      <c r="F40" s="63">
        <v>0.24239828310295114</v>
      </c>
      <c r="G40" s="63">
        <v>0.26257003250523098</v>
      </c>
      <c r="H40" s="63">
        <v>0.45964903902120152</v>
      </c>
      <c r="I40" s="63">
        <v>4.5396883199063945E-2</v>
      </c>
      <c r="N40" s="62">
        <v>2021</v>
      </c>
      <c r="O40" s="60">
        <v>443396</v>
      </c>
      <c r="P40" s="63">
        <v>0.75157195824951062</v>
      </c>
      <c r="Q40" s="63">
        <v>0.5862344270133244</v>
      </c>
      <c r="R40" s="63">
        <v>0.16533753123618616</v>
      </c>
      <c r="S40" s="63">
        <v>0.17947838952087974</v>
      </c>
      <c r="T40" s="63">
        <v>0.5720913134083303</v>
      </c>
      <c r="U40" s="63">
        <v>0.53069490929101748</v>
      </c>
      <c r="V40" s="63">
        <v>0.22087704895849308</v>
      </c>
    </row>
    <row r="41" spans="1:22" x14ac:dyDescent="0.3">
      <c r="A41" s="62">
        <v>2022</v>
      </c>
      <c r="B41" s="60">
        <v>339671</v>
      </c>
      <c r="C41" s="63">
        <v>0.53711974233891024</v>
      </c>
      <c r="D41" s="63">
        <v>0.48114204627418883</v>
      </c>
      <c r="E41" s="63">
        <v>5.5977696064721451E-2</v>
      </c>
      <c r="F41" s="63">
        <v>0.26506825722537397</v>
      </c>
      <c r="G41" s="63">
        <v>0.27205148511353633</v>
      </c>
      <c r="H41" s="63">
        <v>0.49340979948244035</v>
      </c>
      <c r="I41" s="63">
        <v>4.3709942856469938E-2</v>
      </c>
      <c r="N41" s="62">
        <v>2022</v>
      </c>
      <c r="O41" s="60">
        <v>546183</v>
      </c>
      <c r="P41" s="63">
        <v>0.74082679248530259</v>
      </c>
      <c r="Q41" s="63">
        <v>0.5856224012830864</v>
      </c>
      <c r="R41" s="63">
        <v>0.1552043912022161</v>
      </c>
      <c r="S41" s="63">
        <v>0.18399693875495943</v>
      </c>
      <c r="T41" s="63">
        <v>0.55682985373034311</v>
      </c>
      <c r="U41" s="63">
        <v>0.52027983294976221</v>
      </c>
      <c r="V41" s="63">
        <v>0.22054695953554029</v>
      </c>
    </row>
    <row r="43" spans="1:22" x14ac:dyDescent="0.3">
      <c r="A43">
        <v>2021</v>
      </c>
    </row>
    <row r="44" spans="1:22" x14ac:dyDescent="0.3">
      <c r="A44">
        <v>2022</v>
      </c>
    </row>
    <row r="46" spans="1:22" x14ac:dyDescent="0.3">
      <c r="A46">
        <v>2021</v>
      </c>
    </row>
    <row r="47" spans="1:22" x14ac:dyDescent="0.3">
      <c r="A47">
        <v>2022</v>
      </c>
    </row>
    <row r="63" spans="1:18" x14ac:dyDescent="0.3">
      <c r="A63" s="65" t="str">
        <f>CONCATENATE("Table 23a. College Enrollment Rates in the First Two Years after High School Graduation for Classes ",A65," and ",A66,", School Percentile Distribution")</f>
        <v>Table 23a. College Enrollment Rates in the First Two Years after High School Graduation for Classes 2020 and 2021, School Percentile Distribution</v>
      </c>
      <c r="B63" s="58"/>
      <c r="N63" s="65" t="str">
        <f>CONCATENATE("Table 23b. College Enrollment Rates in the First Two Years after High School Graduation for Classes ",N65," and ",N66,", School Percentile Distribution")</f>
        <v>Table 23b. College Enrollment Rates in the First Two Years after High School Graduation for Classes 2020 and 2021, School Percentile Distribution</v>
      </c>
      <c r="O63" s="58"/>
    </row>
    <row r="64" spans="1:18" ht="28.8" x14ac:dyDescent="0.3">
      <c r="A64" s="59"/>
      <c r="B64" s="60" t="s">
        <v>434</v>
      </c>
      <c r="C64" s="61" t="s">
        <v>435</v>
      </c>
      <c r="D64" s="61" t="s">
        <v>436</v>
      </c>
      <c r="E64" s="61" t="s">
        <v>437</v>
      </c>
      <c r="N64" s="59"/>
      <c r="O64" s="60" t="s">
        <v>434</v>
      </c>
      <c r="P64" s="61" t="s">
        <v>435</v>
      </c>
      <c r="Q64" s="61" t="s">
        <v>436</v>
      </c>
      <c r="R64" s="61" t="s">
        <v>437</v>
      </c>
    </row>
    <row r="65" spans="1:22" x14ac:dyDescent="0.3">
      <c r="A65" s="62">
        <v>2020</v>
      </c>
      <c r="B65" s="60">
        <v>1818</v>
      </c>
      <c r="C65" s="63">
        <v>0.40601503759398494</v>
      </c>
      <c r="D65" s="63">
        <v>0.52070625377584623</v>
      </c>
      <c r="E65" s="63">
        <v>0.63461538461538458</v>
      </c>
      <c r="N65" s="62">
        <v>2020</v>
      </c>
      <c r="O65" s="60">
        <v>2027</v>
      </c>
      <c r="P65" s="63">
        <v>0.68354430379746833</v>
      </c>
      <c r="Q65" s="63">
        <v>0.77647058823529413</v>
      </c>
      <c r="R65" s="63">
        <v>0.8571428571428571</v>
      </c>
    </row>
    <row r="66" spans="1:22" x14ac:dyDescent="0.3">
      <c r="A66" s="62">
        <v>2021</v>
      </c>
      <c r="B66" s="60">
        <v>1759</v>
      </c>
      <c r="C66" s="63">
        <v>0.43421052631578949</v>
      </c>
      <c r="D66" s="63">
        <v>0.54360465116279066</v>
      </c>
      <c r="E66" s="63">
        <v>0.65217391304347827</v>
      </c>
      <c r="N66" s="62">
        <v>2021</v>
      </c>
      <c r="O66" s="60">
        <v>1683</v>
      </c>
      <c r="P66" s="63">
        <v>0.67045454545454541</v>
      </c>
      <c r="Q66" s="63">
        <v>0.77583892617449668</v>
      </c>
      <c r="R66" s="63">
        <v>0.8574181117533719</v>
      </c>
    </row>
    <row r="67" spans="1:22" x14ac:dyDescent="0.3">
      <c r="B67" s="58"/>
      <c r="O67" s="58"/>
    </row>
    <row r="68" spans="1:22" x14ac:dyDescent="0.3">
      <c r="A68" s="65" t="str">
        <f>CONCATENATE("Table 24a. College Enrollment Rates in the First Two Years after High School Graduation for Classes ",A70," and ",A71,", Student-Weighted Totals")</f>
        <v>Table 24a. College Enrollment Rates in the First Two Years after High School Graduation for Classes 2020 and 2021, Student-Weighted Totals</v>
      </c>
      <c r="B68" s="58"/>
      <c r="N68" s="65" t="str">
        <f>CONCATENATE("Table 24b. College Enrollment Rates in the First Two Years after High School Graduation for Classes ",N70," and ",N71,", Student-Weighted Totals")</f>
        <v>Table 24b. College Enrollment Rates in the First Two Years after High School Graduation for Classes 2020 and 2021, Student-Weighted Totals</v>
      </c>
      <c r="O68" s="58"/>
    </row>
    <row r="69" spans="1:22" ht="28.8" x14ac:dyDescent="0.3">
      <c r="A69" s="59"/>
      <c r="B69" s="60" t="s">
        <v>438</v>
      </c>
      <c r="C69" s="61" t="s">
        <v>439</v>
      </c>
      <c r="D69" s="61" t="s">
        <v>105</v>
      </c>
      <c r="E69" s="61" t="s">
        <v>106</v>
      </c>
      <c r="F69" s="61" t="s">
        <v>440</v>
      </c>
      <c r="G69" s="61" t="s">
        <v>441</v>
      </c>
      <c r="H69" s="61" t="s">
        <v>442</v>
      </c>
      <c r="I69" s="61" t="s">
        <v>443</v>
      </c>
      <c r="N69" s="59"/>
      <c r="O69" s="60" t="s">
        <v>438</v>
      </c>
      <c r="P69" s="61" t="s">
        <v>439</v>
      </c>
      <c r="Q69" s="61" t="s">
        <v>105</v>
      </c>
      <c r="R69" s="61" t="s">
        <v>106</v>
      </c>
      <c r="S69" s="61" t="s">
        <v>440</v>
      </c>
      <c r="T69" s="61" t="s">
        <v>441</v>
      </c>
      <c r="U69" s="61" t="s">
        <v>442</v>
      </c>
      <c r="V69" s="61" t="s">
        <v>443</v>
      </c>
    </row>
    <row r="70" spans="1:22" x14ac:dyDescent="0.3">
      <c r="A70" s="62">
        <v>2020</v>
      </c>
      <c r="B70" s="60">
        <v>336823</v>
      </c>
      <c r="C70" s="63">
        <v>0.54643536813103621</v>
      </c>
      <c r="D70" s="63">
        <v>0.48271941049156381</v>
      </c>
      <c r="E70" s="63">
        <v>6.3715957639472368E-2</v>
      </c>
      <c r="F70" s="63">
        <v>0.27746026844960114</v>
      </c>
      <c r="G70" s="63">
        <v>0.26882368484337471</v>
      </c>
      <c r="H70" s="63">
        <v>0.49846061581305312</v>
      </c>
      <c r="I70" s="63">
        <v>4.7974752317983038E-2</v>
      </c>
      <c r="N70" s="62">
        <v>2020</v>
      </c>
      <c r="O70" s="60">
        <v>553860</v>
      </c>
      <c r="P70" s="63">
        <v>0.79201783844292784</v>
      </c>
      <c r="Q70" s="63">
        <v>0.62551366771386274</v>
      </c>
      <c r="R70" s="63">
        <v>0.16650417072906509</v>
      </c>
      <c r="S70" s="63">
        <v>0.2098562813707435</v>
      </c>
      <c r="T70" s="63">
        <v>0.58215252952009533</v>
      </c>
      <c r="U70" s="63">
        <v>0.5754883905680136</v>
      </c>
      <c r="V70" s="63">
        <v>0.21652944787491424</v>
      </c>
    </row>
    <row r="71" spans="1:22" x14ac:dyDescent="0.3">
      <c r="A71" s="62">
        <v>2021</v>
      </c>
      <c r="B71" s="60">
        <v>335023</v>
      </c>
      <c r="C71" s="63">
        <v>0.55103977935843207</v>
      </c>
      <c r="D71" s="63">
        <v>0.49266468272327574</v>
      </c>
      <c r="E71" s="63">
        <v>5.8375096635156394E-2</v>
      </c>
      <c r="F71" s="63">
        <v>0.27527363792933618</v>
      </c>
      <c r="G71" s="63">
        <v>0.27566465585944844</v>
      </c>
      <c r="H71" s="63">
        <v>0.49875083203242765</v>
      </c>
      <c r="I71" s="63">
        <v>5.2288947326004483E-2</v>
      </c>
      <c r="N71" s="62">
        <v>2021</v>
      </c>
      <c r="O71" s="60">
        <v>443396</v>
      </c>
      <c r="P71" s="63">
        <v>0.78559120966359641</v>
      </c>
      <c r="Q71" s="63">
        <v>0.61527844184431069</v>
      </c>
      <c r="R71" s="63">
        <v>0.1703127678192857</v>
      </c>
      <c r="S71" s="63">
        <v>0.19980784671038981</v>
      </c>
      <c r="T71" s="63">
        <v>0.58578110763290603</v>
      </c>
      <c r="U71" s="63">
        <v>0.55642585860043847</v>
      </c>
      <c r="V71" s="63">
        <v>0.229165351063158</v>
      </c>
    </row>
    <row r="73" spans="1:22" x14ac:dyDescent="0.3">
      <c r="A73">
        <v>2020</v>
      </c>
    </row>
    <row r="74" spans="1:22" x14ac:dyDescent="0.3">
      <c r="A74">
        <v>2021</v>
      </c>
    </row>
    <row r="76" spans="1:22" x14ac:dyDescent="0.3">
      <c r="A76">
        <v>2020</v>
      </c>
    </row>
    <row r="77" spans="1:22" x14ac:dyDescent="0.3">
      <c r="A77">
        <v>2021</v>
      </c>
    </row>
    <row r="92" spans="1:18" x14ac:dyDescent="0.3">
      <c r="A92" s="65" t="str">
        <f>CONCATENATE("Table 25a. Persistence Rates from First to Second Year of College for Class of ",A94," and ",A95,", School Percentile Distribution")</f>
        <v>Table 25a. Persistence Rates from First to Second Year of College for Class of 2020 and 2021, School Percentile Distribution</v>
      </c>
      <c r="B92" s="58"/>
      <c r="N92" s="65" t="str">
        <f>CONCATENATE("Table 25b. Persistence Rates from First to Second Year of College for Class of ",N94," and ",N95,", School Percentile Distribution")</f>
        <v>Table 25b. Persistence Rates from First to Second Year of College for Class of 2020 and 2021, School Percentile Distribution</v>
      </c>
      <c r="O92" s="58"/>
    </row>
    <row r="93" spans="1:18" ht="28.8" x14ac:dyDescent="0.3">
      <c r="A93" s="59"/>
      <c r="B93" s="60" t="s">
        <v>434</v>
      </c>
      <c r="C93" s="61" t="s">
        <v>435</v>
      </c>
      <c r="D93" s="61" t="s">
        <v>436</v>
      </c>
      <c r="E93" s="61" t="s">
        <v>437</v>
      </c>
      <c r="N93" s="59"/>
      <c r="O93" s="60" t="s">
        <v>434</v>
      </c>
      <c r="P93" s="61" t="s">
        <v>435</v>
      </c>
      <c r="Q93" s="61" t="s">
        <v>436</v>
      </c>
      <c r="R93" s="61" t="s">
        <v>437</v>
      </c>
    </row>
    <row r="94" spans="1:18" x14ac:dyDescent="0.3">
      <c r="A94" s="62">
        <v>2020</v>
      </c>
      <c r="B94" s="66">
        <v>1818</v>
      </c>
      <c r="C94" s="72">
        <v>0.61684397163120575</v>
      </c>
      <c r="D94" s="72">
        <v>0.69855132737228809</v>
      </c>
      <c r="E94" s="72">
        <v>0.77005747126436774</v>
      </c>
      <c r="N94" s="62">
        <v>2020</v>
      </c>
      <c r="O94" s="66">
        <v>2027</v>
      </c>
      <c r="P94" s="72">
        <v>0.83383725456471169</v>
      </c>
      <c r="Q94" s="72">
        <v>0.88627883310719136</v>
      </c>
      <c r="R94" s="72">
        <v>0.92395875313206366</v>
      </c>
    </row>
    <row r="95" spans="1:18" x14ac:dyDescent="0.3">
      <c r="A95" s="62">
        <v>2021</v>
      </c>
      <c r="B95" s="66">
        <v>1759</v>
      </c>
      <c r="C95" s="72">
        <v>0.67741935483870963</v>
      </c>
      <c r="D95" s="72">
        <v>0.74947698744769875</v>
      </c>
      <c r="E95" s="72">
        <v>0.80487804878048785</v>
      </c>
      <c r="N95" s="62">
        <v>2021</v>
      </c>
      <c r="O95" s="66">
        <v>1683</v>
      </c>
      <c r="P95" s="72">
        <v>0.84328358208955223</v>
      </c>
      <c r="Q95" s="72">
        <v>0.89558232931726911</v>
      </c>
      <c r="R95" s="72">
        <v>0.93197278911564629</v>
      </c>
    </row>
    <row r="96" spans="1:18" x14ac:dyDescent="0.3">
      <c r="B96" s="58"/>
      <c r="O96" s="58"/>
    </row>
    <row r="97" spans="1:22" x14ac:dyDescent="0.3">
      <c r="B97" s="58"/>
      <c r="O97" s="58"/>
    </row>
    <row r="98" spans="1:22" x14ac:dyDescent="0.3">
      <c r="A98" s="65" t="str">
        <f>CONCATENATE("Table 26a. Persistence Rates from First to Second Year of College for Class of ",A100," and ",A101,", Student-Weighted Totals")</f>
        <v>Table 26a. Persistence Rates from First to Second Year of College for Class of 2020 and 2021, Student-Weighted Totals</v>
      </c>
      <c r="B98" s="58"/>
      <c r="N98" s="65" t="str">
        <f>CONCATENATE("Table 26b. Persistence Rates from First to Second Year of College for Class of ",N100," and ",N101,", Student-Weighted Totals")</f>
        <v>Table 26b. Persistence Rates from First to Second Year of College for Class of 2020 and 2021, Student-Weighted Totals</v>
      </c>
      <c r="O98" s="58"/>
    </row>
    <row r="99" spans="1:22" ht="43.2" x14ac:dyDescent="0.3">
      <c r="A99" s="59"/>
      <c r="B99" s="60" t="s">
        <v>444</v>
      </c>
      <c r="C99" s="61" t="s">
        <v>439</v>
      </c>
      <c r="D99" s="61" t="s">
        <v>105</v>
      </c>
      <c r="E99" s="61" t="s">
        <v>106</v>
      </c>
      <c r="F99" s="61" t="s">
        <v>440</v>
      </c>
      <c r="G99" s="61" t="s">
        <v>441</v>
      </c>
      <c r="H99" s="61" t="s">
        <v>442</v>
      </c>
      <c r="I99" s="61" t="s">
        <v>443</v>
      </c>
      <c r="N99" s="59"/>
      <c r="O99" s="60" t="s">
        <v>444</v>
      </c>
      <c r="P99" s="61" t="s">
        <v>439</v>
      </c>
      <c r="Q99" s="61" t="s">
        <v>105</v>
      </c>
      <c r="R99" s="61" t="s">
        <v>106</v>
      </c>
      <c r="S99" s="61" t="s">
        <v>440</v>
      </c>
      <c r="T99" s="61" t="s">
        <v>441</v>
      </c>
      <c r="U99" s="61" t="s">
        <v>442</v>
      </c>
      <c r="V99" s="61" t="s">
        <v>443</v>
      </c>
    </row>
    <row r="100" spans="1:22" x14ac:dyDescent="0.3">
      <c r="A100" s="62">
        <v>2020</v>
      </c>
      <c r="B100" s="60">
        <v>170451</v>
      </c>
      <c r="C100" s="63">
        <v>0.71710931587377014</v>
      </c>
      <c r="D100" s="63">
        <v>0.71382084725094108</v>
      </c>
      <c r="E100" s="63">
        <v>0.74247303583294999</v>
      </c>
      <c r="F100" s="63">
        <v>0.63090980851801792</v>
      </c>
      <c r="G100" s="63">
        <v>0.80026721645684795</v>
      </c>
      <c r="H100" s="63">
        <v>0.71555439049652825</v>
      </c>
      <c r="I100" s="63">
        <v>0.7344250622997508</v>
      </c>
      <c r="N100" s="62">
        <v>2020</v>
      </c>
      <c r="O100" s="60">
        <v>419551</v>
      </c>
      <c r="P100" s="63">
        <v>0.89702086277949522</v>
      </c>
      <c r="Q100" s="63">
        <v>0.8858768133692605</v>
      </c>
      <c r="R100" s="63">
        <v>0.93848023221799692</v>
      </c>
      <c r="S100" s="63">
        <v>0.7676965415496354</v>
      </c>
      <c r="T100" s="63">
        <v>0.94060680609419167</v>
      </c>
      <c r="U100" s="63">
        <v>0.8811286726128017</v>
      </c>
      <c r="V100" s="63">
        <v>0.93931460585909887</v>
      </c>
    </row>
    <row r="101" spans="1:22" x14ac:dyDescent="0.3">
      <c r="A101" s="62">
        <v>2021</v>
      </c>
      <c r="B101" s="60">
        <v>169202</v>
      </c>
      <c r="C101" s="63">
        <v>0.76019195990591126</v>
      </c>
      <c r="D101" s="63">
        <v>0.75620757059460597</v>
      </c>
      <c r="E101" s="63">
        <v>0.79413750421964668</v>
      </c>
      <c r="F101" s="63">
        <v>0.68622935881490965</v>
      </c>
      <c r="G101" s="63">
        <v>0.82868575715893456</v>
      </c>
      <c r="H101" s="63">
        <v>0.75795653049164569</v>
      </c>
      <c r="I101" s="63">
        <v>0.78282595831415613</v>
      </c>
      <c r="N101" s="62">
        <v>2021</v>
      </c>
      <c r="O101" s="60">
        <v>333244</v>
      </c>
      <c r="P101" s="63">
        <v>0.90673800578555053</v>
      </c>
      <c r="Q101" s="63">
        <v>0.89640831903483187</v>
      </c>
      <c r="R101" s="63">
        <v>0.94336379757195477</v>
      </c>
      <c r="S101" s="63">
        <v>0.78394068861522992</v>
      </c>
      <c r="T101" s="63">
        <v>0.94526596310853372</v>
      </c>
      <c r="U101" s="63">
        <v>0.89172063848232952</v>
      </c>
      <c r="V101" s="63">
        <v>0.94281980068616245</v>
      </c>
    </row>
    <row r="103" spans="1:22" x14ac:dyDescent="0.3">
      <c r="A103">
        <v>2020</v>
      </c>
    </row>
    <row r="104" spans="1:22" x14ac:dyDescent="0.3">
      <c r="A104">
        <v>2021</v>
      </c>
    </row>
    <row r="106" spans="1:22" x14ac:dyDescent="0.3">
      <c r="A106">
        <v>2020</v>
      </c>
    </row>
    <row r="107" spans="1:22" x14ac:dyDescent="0.3">
      <c r="A107">
        <v>2021</v>
      </c>
    </row>
    <row r="122" spans="1:18" x14ac:dyDescent="0.3">
      <c r="A122" s="65" t="str">
        <f>CONCATENATE("Table 27a. Six-Year Completion Rates for Class of ",,A124," and ",A125,", School Percentile Distribution")</f>
        <v>Table 27a. Six-Year Completion Rates for Class of 2016 and 2017, School Percentile Distribution</v>
      </c>
      <c r="B122" s="58"/>
      <c r="N122" s="65" t="str">
        <f>CONCATENATE("Table 27b. Six-Year Completion Rates for Class of ",N124," and ",N125,", School Percentile Distribution")</f>
        <v>Table 27b. Six-Year Completion Rates for Class of 2016 and 2017, School Percentile Distribution</v>
      </c>
      <c r="O122" s="58"/>
    </row>
    <row r="123" spans="1:18" ht="28.8" x14ac:dyDescent="0.3">
      <c r="A123" s="59"/>
      <c r="B123" s="60" t="s">
        <v>434</v>
      </c>
      <c r="C123" s="61" t="s">
        <v>435</v>
      </c>
      <c r="D123" s="61" t="s">
        <v>436</v>
      </c>
      <c r="E123" s="61" t="s">
        <v>437</v>
      </c>
      <c r="N123" s="59"/>
      <c r="O123" s="60" t="s">
        <v>434</v>
      </c>
      <c r="P123" s="61" t="s">
        <v>435</v>
      </c>
      <c r="Q123" s="61" t="s">
        <v>436</v>
      </c>
      <c r="R123" s="61" t="s">
        <v>437</v>
      </c>
    </row>
    <row r="124" spans="1:18" x14ac:dyDescent="0.3">
      <c r="A124" s="62">
        <v>2016</v>
      </c>
      <c r="B124" s="66">
        <v>1609</v>
      </c>
      <c r="C124" s="72">
        <v>0.13698630136986301</v>
      </c>
      <c r="D124" s="72">
        <v>0.22185430463576158</v>
      </c>
      <c r="E124" s="72">
        <v>0.30120481927710846</v>
      </c>
      <c r="N124" s="62">
        <v>2016</v>
      </c>
      <c r="O124" s="66">
        <v>2004</v>
      </c>
      <c r="P124" s="72">
        <v>0.47826086956521741</v>
      </c>
      <c r="Q124" s="72">
        <v>0.57601438109912695</v>
      </c>
      <c r="R124" s="72">
        <v>0.6697092910685144</v>
      </c>
    </row>
    <row r="125" spans="1:18" x14ac:dyDescent="0.3">
      <c r="A125" s="62">
        <v>2017</v>
      </c>
      <c r="B125" s="66">
        <v>1556</v>
      </c>
      <c r="C125" s="72">
        <v>0.14285714285714285</v>
      </c>
      <c r="D125" s="72">
        <v>0.22933743169398907</v>
      </c>
      <c r="E125" s="72">
        <v>0.30976921742148189</v>
      </c>
      <c r="N125" s="62">
        <v>2017</v>
      </c>
      <c r="O125" s="66">
        <v>2024</v>
      </c>
      <c r="P125" s="72">
        <v>0.47336688509086</v>
      </c>
      <c r="Q125" s="72">
        <v>0.56697795798645556</v>
      </c>
      <c r="R125" s="72">
        <v>0.65955122862843152</v>
      </c>
    </row>
    <row r="126" spans="1:18" x14ac:dyDescent="0.3">
      <c r="A126" s="73"/>
      <c r="B126" s="74"/>
      <c r="C126" s="75"/>
      <c r="D126" s="75"/>
      <c r="E126" s="75"/>
      <c r="N126" s="73"/>
      <c r="O126" s="74"/>
      <c r="P126" s="75"/>
      <c r="Q126" s="75"/>
      <c r="R126" s="75"/>
    </row>
    <row r="127" spans="1:18" x14ac:dyDescent="0.3">
      <c r="B127" s="58"/>
      <c r="O127" s="58"/>
    </row>
    <row r="128" spans="1:18" x14ac:dyDescent="0.3">
      <c r="A128" s="65" t="str">
        <f>CONCATENATE("Table 28a. Six-Year Completion Rates for Class of ",A130," and ",A131, ", Student-Weighted Totals")</f>
        <v>Table 28a. Six-Year Completion Rates for Class of 2016 and 2017, Student-Weighted Totals</v>
      </c>
      <c r="B128" s="58"/>
      <c r="N128" s="65" t="str">
        <f>CONCATENATE("Table 28b. Six-Year Completion Rates for Class of ",,N130," and ",N131, ", Student-Weighted Totals")</f>
        <v>Table 28b. Six-Year Completion Rates for Class of 2016 and 2017, Student-Weighted Totals</v>
      </c>
      <c r="O128" s="58"/>
    </row>
    <row r="129" spans="1:22" ht="28.8" x14ac:dyDescent="0.3">
      <c r="A129" s="59"/>
      <c r="B129" s="60" t="s">
        <v>438</v>
      </c>
      <c r="C129" s="61" t="s">
        <v>439</v>
      </c>
      <c r="D129" s="61" t="s">
        <v>105</v>
      </c>
      <c r="E129" s="61" t="s">
        <v>106</v>
      </c>
      <c r="F129" s="61" t="s">
        <v>440</v>
      </c>
      <c r="G129" s="61" t="s">
        <v>441</v>
      </c>
      <c r="H129" s="61" t="s">
        <v>442</v>
      </c>
      <c r="I129" s="61" t="s">
        <v>443</v>
      </c>
      <c r="N129" s="59"/>
      <c r="O129" s="60" t="s">
        <v>438</v>
      </c>
      <c r="P129" s="61" t="s">
        <v>439</v>
      </c>
      <c r="Q129" s="61" t="s">
        <v>105</v>
      </c>
      <c r="R129" s="61" t="s">
        <v>106</v>
      </c>
      <c r="S129" s="61" t="s">
        <v>440</v>
      </c>
      <c r="T129" s="61" t="s">
        <v>441</v>
      </c>
      <c r="U129" s="61" t="s">
        <v>442</v>
      </c>
      <c r="V129" s="61" t="s">
        <v>443</v>
      </c>
    </row>
    <row r="130" spans="1:22" x14ac:dyDescent="0.3">
      <c r="A130" s="62">
        <v>2016</v>
      </c>
      <c r="B130" s="67">
        <v>267903</v>
      </c>
      <c r="C130" s="68">
        <v>0.24472290343893124</v>
      </c>
      <c r="D130" s="68">
        <v>0.20799319156560397</v>
      </c>
      <c r="E130" s="68">
        <v>3.6729711873327284E-2</v>
      </c>
      <c r="F130" s="68">
        <v>8.6673161554741834E-2</v>
      </c>
      <c r="G130" s="68">
        <v>0.15765407628880601</v>
      </c>
      <c r="H130" s="68">
        <v>0.22084485802697246</v>
      </c>
      <c r="I130" s="68">
        <v>2.3878045411958804E-2</v>
      </c>
      <c r="N130" s="62">
        <v>2016</v>
      </c>
      <c r="O130" s="67">
        <v>531969</v>
      </c>
      <c r="P130" s="68">
        <v>0.5993601130892966</v>
      </c>
      <c r="Q130" s="68">
        <v>0.44216674279892249</v>
      </c>
      <c r="R130" s="68">
        <v>0.15719337029037406</v>
      </c>
      <c r="S130" s="68">
        <v>8.5892223043072063E-2</v>
      </c>
      <c r="T130" s="68">
        <v>0.51343029387050754</v>
      </c>
      <c r="U130" s="68">
        <v>0.41598288622081364</v>
      </c>
      <c r="V130" s="68">
        <v>0.18337722686848293</v>
      </c>
    </row>
    <row r="131" spans="1:22" x14ac:dyDescent="0.3">
      <c r="A131" s="62">
        <v>2017</v>
      </c>
      <c r="B131" s="67">
        <v>272520</v>
      </c>
      <c r="C131" s="68">
        <v>0.25063114633788347</v>
      </c>
      <c r="D131" s="68">
        <v>0.21239175106414207</v>
      </c>
      <c r="E131" s="68">
        <v>3.8239395273741379E-2</v>
      </c>
      <c r="F131" s="68">
        <v>8.7920152649346842E-2</v>
      </c>
      <c r="G131" s="68">
        <v>0.16234404814325554</v>
      </c>
      <c r="H131" s="68">
        <v>0.22621092029942758</v>
      </c>
      <c r="I131" s="68">
        <v>2.4420226038455894E-2</v>
      </c>
      <c r="N131" s="62">
        <v>2017</v>
      </c>
      <c r="O131" s="67">
        <v>536539</v>
      </c>
      <c r="P131" s="68">
        <v>0.59400714579928016</v>
      </c>
      <c r="Q131" s="68">
        <v>0.44052715646020141</v>
      </c>
      <c r="R131" s="68">
        <v>0.1534799893390788</v>
      </c>
      <c r="S131" s="68">
        <v>8.5818551866686299E-2</v>
      </c>
      <c r="T131" s="68">
        <v>0.50817181975587977</v>
      </c>
      <c r="U131" s="68">
        <v>0.41427370610524117</v>
      </c>
      <c r="V131" s="68">
        <v>0.17973343969403902</v>
      </c>
    </row>
    <row r="133" spans="1:22" x14ac:dyDescent="0.3">
      <c r="A133">
        <v>2016</v>
      </c>
    </row>
    <row r="134" spans="1:22" x14ac:dyDescent="0.3">
      <c r="A134">
        <v>2017</v>
      </c>
    </row>
    <row r="136" spans="1:22" x14ac:dyDescent="0.3">
      <c r="A136">
        <v>2016</v>
      </c>
    </row>
    <row r="137" spans="1:22" x14ac:dyDescent="0.3">
      <c r="A137">
        <v>2017</v>
      </c>
    </row>
  </sheetData>
  <mergeCells count="2">
    <mergeCell ref="A2:L2"/>
    <mergeCell ref="N2:Y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E8661-B613-490D-BB50-3EB022329721}">
  <dimension ref="A1:Y137"/>
  <sheetViews>
    <sheetView topLeftCell="A79" zoomScale="80" zoomScaleNormal="80" workbookViewId="0">
      <selection activeCell="M24" sqref="M24"/>
    </sheetView>
  </sheetViews>
  <sheetFormatPr defaultRowHeight="14.4" x14ac:dyDescent="0.3"/>
  <cols>
    <col min="2" max="2" width="14.5546875" customWidth="1"/>
    <col min="3" max="3" width="11.5546875" customWidth="1"/>
    <col min="4" max="4" width="10.5546875" customWidth="1"/>
    <col min="5" max="5" width="11.6640625" customWidth="1"/>
    <col min="13" max="13" width="13.6640625" customWidth="1"/>
    <col min="15" max="15" width="13.33203125" customWidth="1"/>
    <col min="16" max="16" width="11.5546875" customWidth="1"/>
    <col min="17" max="17" width="10.33203125" customWidth="1"/>
    <col min="18" max="18" width="10.109375" customWidth="1"/>
  </cols>
  <sheetData>
    <row r="1" spans="1:25" ht="28.8" x14ac:dyDescent="0.3">
      <c r="A1" s="53" t="s">
        <v>445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</row>
    <row r="2" spans="1:25" ht="18" x14ac:dyDescent="0.3">
      <c r="A2" s="106" t="s">
        <v>446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55"/>
      <c r="N2" s="106" t="s">
        <v>447</v>
      </c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</row>
    <row r="3" spans="1:25" x14ac:dyDescent="0.3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7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</row>
    <row r="4" spans="1:25" x14ac:dyDescent="0.3">
      <c r="A4" s="2" t="str">
        <f>CONCATENATE("Table 29a. College Enrollment Rates in the First Fall after High School Graduation for Classes ",A6," and ",A7,", School Percentile Distribution")</f>
        <v>Table 29a. College Enrollment Rates in the First Fall after High School Graduation for Classes 2022 and 2023, School Percentile Distribution</v>
      </c>
      <c r="B4" s="58"/>
      <c r="N4" s="2" t="str">
        <f>CONCATENATE("Table 29b. College Enrollment Rates in the First Fall after High School Graduation for Classes ",N6," and ",N7,", School Percentile Distribution")</f>
        <v>Table 29b. College Enrollment Rates in the First Fall after High School Graduation for Classes 2022 and 2023, School Percentile Distribution</v>
      </c>
      <c r="O4" s="58"/>
    </row>
    <row r="5" spans="1:25" ht="28.8" x14ac:dyDescent="0.3">
      <c r="A5" s="59"/>
      <c r="B5" s="60" t="s">
        <v>434</v>
      </c>
      <c r="C5" s="61" t="s">
        <v>435</v>
      </c>
      <c r="D5" s="61" t="s">
        <v>436</v>
      </c>
      <c r="E5" s="61" t="s">
        <v>437</v>
      </c>
      <c r="N5" s="59"/>
      <c r="O5" s="60" t="s">
        <v>434</v>
      </c>
      <c r="P5" s="61" t="s">
        <v>435</v>
      </c>
      <c r="Q5" s="61" t="s">
        <v>436</v>
      </c>
      <c r="R5" s="61" t="s">
        <v>437</v>
      </c>
    </row>
    <row r="6" spans="1:25" x14ac:dyDescent="0.3">
      <c r="A6" s="62">
        <v>2022</v>
      </c>
      <c r="B6" s="60">
        <v>3836</v>
      </c>
      <c r="C6" s="63">
        <v>0.39175257731958762</v>
      </c>
      <c r="D6" s="63">
        <v>0.49202716937270713</v>
      </c>
      <c r="E6" s="63">
        <v>0.6</v>
      </c>
      <c r="G6" s="64"/>
      <c r="I6" s="64"/>
      <c r="N6" s="62">
        <v>2022</v>
      </c>
      <c r="O6" s="60">
        <v>7555</v>
      </c>
      <c r="P6" s="63">
        <v>0.44642857142857145</v>
      </c>
      <c r="Q6" s="63">
        <v>0.5714285714285714</v>
      </c>
      <c r="R6" s="63">
        <v>0.69603524229074887</v>
      </c>
      <c r="T6" s="64"/>
      <c r="V6" s="64"/>
    </row>
    <row r="7" spans="1:25" x14ac:dyDescent="0.3">
      <c r="A7" s="62">
        <v>2023</v>
      </c>
      <c r="B7" s="60">
        <v>4465</v>
      </c>
      <c r="C7" s="63">
        <v>0.39080459770114945</v>
      </c>
      <c r="D7" s="63">
        <v>0.49446494464944651</v>
      </c>
      <c r="E7" s="63">
        <v>0.6</v>
      </c>
      <c r="N7" s="62">
        <v>2023</v>
      </c>
      <c r="O7" s="60">
        <v>6100</v>
      </c>
      <c r="P7" s="63">
        <v>0.47826086956521741</v>
      </c>
      <c r="Q7" s="63">
        <v>0.60239176289728658</v>
      </c>
      <c r="R7" s="63">
        <v>0.72030363264483044</v>
      </c>
    </row>
    <row r="8" spans="1:25" x14ac:dyDescent="0.3">
      <c r="B8" s="58"/>
      <c r="O8" s="58"/>
    </row>
    <row r="9" spans="1:25" x14ac:dyDescent="0.3">
      <c r="A9" s="2" t="str">
        <f>CONCATENATE("Table 30a. College Enrollment Rates in the First Fall after High School Graduation for Classes ",A11," and ",A12,", Student-Weighted Totals")</f>
        <v>Table 30a. College Enrollment Rates in the First Fall after High School Graduation for Classes 2022 and 2023, Student-Weighted Totals</v>
      </c>
      <c r="B9" s="58"/>
      <c r="N9" s="2" t="str">
        <f>CONCATENATE("Table 30b. College Enrollment Rates in the First Fall after High School Graduation for Classes ",N11," and ",N12,", Student-Weighted Totals")</f>
        <v>Table 30b. College Enrollment Rates in the First Fall after High School Graduation for Classes 2022 and 2023, Student-Weighted Totals</v>
      </c>
      <c r="O9" s="58"/>
    </row>
    <row r="10" spans="1:25" ht="28.8" x14ac:dyDescent="0.3">
      <c r="A10" s="59"/>
      <c r="B10" s="60" t="s">
        <v>438</v>
      </c>
      <c r="C10" s="61" t="s">
        <v>439</v>
      </c>
      <c r="D10" s="61" t="s">
        <v>105</v>
      </c>
      <c r="E10" s="61" t="s">
        <v>106</v>
      </c>
      <c r="F10" s="61" t="s">
        <v>440</v>
      </c>
      <c r="G10" s="61" t="s">
        <v>441</v>
      </c>
      <c r="H10" s="61" t="s">
        <v>442</v>
      </c>
      <c r="I10" s="61" t="s">
        <v>443</v>
      </c>
      <c r="N10" s="59"/>
      <c r="O10" s="60" t="s">
        <v>438</v>
      </c>
      <c r="P10" s="61" t="s">
        <v>439</v>
      </c>
      <c r="Q10" s="61" t="s">
        <v>105</v>
      </c>
      <c r="R10" s="61" t="s">
        <v>106</v>
      </c>
      <c r="S10" s="61" t="s">
        <v>440</v>
      </c>
      <c r="T10" s="61" t="s">
        <v>441</v>
      </c>
      <c r="U10" s="61" t="s">
        <v>442</v>
      </c>
      <c r="V10" s="61" t="s">
        <v>443</v>
      </c>
    </row>
    <row r="11" spans="1:25" x14ac:dyDescent="0.3">
      <c r="A11" s="62">
        <v>2022</v>
      </c>
      <c r="B11" s="60">
        <v>734098</v>
      </c>
      <c r="C11" s="63">
        <v>0.51986655732613352</v>
      </c>
      <c r="D11" s="63">
        <v>0.46197101749357716</v>
      </c>
      <c r="E11" s="63">
        <v>5.7895539832556416E-2</v>
      </c>
      <c r="F11" s="63">
        <v>0.24179877890962787</v>
      </c>
      <c r="G11" s="63">
        <v>0.27806777841650571</v>
      </c>
      <c r="H11" s="63">
        <v>0.47071508163760151</v>
      </c>
      <c r="I11" s="63">
        <v>4.9151475688532051E-2</v>
      </c>
      <c r="N11" s="62">
        <v>2022</v>
      </c>
      <c r="O11" s="60">
        <v>1462920</v>
      </c>
      <c r="P11" s="63">
        <v>0.63139884614332975</v>
      </c>
      <c r="Q11" s="63">
        <v>0.50511442867689282</v>
      </c>
      <c r="R11" s="63">
        <v>0.12628441746643698</v>
      </c>
      <c r="S11" s="63">
        <v>0.17470470018866377</v>
      </c>
      <c r="T11" s="63">
        <v>0.45669414595466601</v>
      </c>
      <c r="U11" s="63">
        <v>0.47947939736964429</v>
      </c>
      <c r="V11" s="63">
        <v>0.15191944877368552</v>
      </c>
    </row>
    <row r="12" spans="1:25" x14ac:dyDescent="0.3">
      <c r="A12" s="62">
        <v>2023</v>
      </c>
      <c r="B12" s="60">
        <v>809709</v>
      </c>
      <c r="C12" s="63">
        <v>0.5229755381254253</v>
      </c>
      <c r="D12" s="63">
        <v>0.45608978040258907</v>
      </c>
      <c r="E12" s="63">
        <v>6.6885757722836225E-2</v>
      </c>
      <c r="F12" s="63">
        <v>0.2227269302922408</v>
      </c>
      <c r="G12" s="63">
        <v>0.30024860783318452</v>
      </c>
      <c r="H12" s="63">
        <v>0.46919942843663587</v>
      </c>
      <c r="I12" s="63">
        <v>5.3776109688789431E-2</v>
      </c>
      <c r="N12" s="62">
        <v>2023</v>
      </c>
      <c r="O12" s="60">
        <v>1183533</v>
      </c>
      <c r="P12" s="63">
        <v>0.65144782612736607</v>
      </c>
      <c r="Q12" s="63">
        <v>0.51721160288728751</v>
      </c>
      <c r="R12" s="63">
        <v>0.13423622324007864</v>
      </c>
      <c r="S12" s="63">
        <v>0.16585764824470461</v>
      </c>
      <c r="T12" s="63">
        <v>0.48559017788266151</v>
      </c>
      <c r="U12" s="63">
        <v>0.49095631469506978</v>
      </c>
      <c r="V12" s="63">
        <v>0.16049151143229634</v>
      </c>
    </row>
    <row r="14" spans="1:25" x14ac:dyDescent="0.3">
      <c r="A14">
        <v>2022</v>
      </c>
    </row>
    <row r="15" spans="1:25" x14ac:dyDescent="0.3">
      <c r="A15">
        <v>2023</v>
      </c>
    </row>
    <row r="17" spans="1:1" x14ac:dyDescent="0.3">
      <c r="A17">
        <v>2022</v>
      </c>
    </row>
    <row r="18" spans="1:1" x14ac:dyDescent="0.3">
      <c r="A18">
        <v>2023</v>
      </c>
    </row>
    <row r="33" spans="1:22" x14ac:dyDescent="0.3">
      <c r="A33" s="65" t="str">
        <f>CONCATENATE("Table 31a. College Enrollment Rates in the First Year after High School Graduation for Classes ",A35," and ",A36,", School Percentile Distribution")</f>
        <v>Table 31a. College Enrollment Rates in the First Year after High School Graduation for Classes 2021 and 2022, School Percentile Distribution</v>
      </c>
      <c r="B33" s="58"/>
      <c r="N33" s="65" t="str">
        <f>CONCATENATE("Table 31b. College Enrollment Rates in the First Year after High School Graduation for Classes ",N35," and ",N36,", School Percentile Distribution")</f>
        <v>Table 31b. College Enrollment Rates in the First Year after High School Graduation for Classes 2021 and 2022, School Percentile Distribution</v>
      </c>
      <c r="O33" s="58"/>
    </row>
    <row r="34" spans="1:22" ht="28.8" x14ac:dyDescent="0.3">
      <c r="A34" s="59"/>
      <c r="B34" s="60" t="s">
        <v>434</v>
      </c>
      <c r="C34" s="60" t="s">
        <v>435</v>
      </c>
      <c r="D34" s="60" t="s">
        <v>436</v>
      </c>
      <c r="E34" s="60" t="s">
        <v>437</v>
      </c>
      <c r="N34" s="59"/>
      <c r="O34" s="60" t="s">
        <v>434</v>
      </c>
      <c r="P34" s="60" t="s">
        <v>435</v>
      </c>
      <c r="Q34" s="60" t="s">
        <v>436</v>
      </c>
      <c r="R34" s="60" t="s">
        <v>437</v>
      </c>
    </row>
    <row r="35" spans="1:22" x14ac:dyDescent="0.3">
      <c r="A35" s="62">
        <v>2021</v>
      </c>
      <c r="B35" s="60">
        <v>3842</v>
      </c>
      <c r="C35" s="63">
        <v>0.41830065359477125</v>
      </c>
      <c r="D35" s="63">
        <v>0.5173079483424311</v>
      </c>
      <c r="E35" s="63">
        <v>0.61660079051383399</v>
      </c>
      <c r="N35" s="62">
        <v>2021</v>
      </c>
      <c r="O35" s="60">
        <v>7474</v>
      </c>
      <c r="P35" s="63">
        <v>0.48916408668730649</v>
      </c>
      <c r="Q35" s="63">
        <v>0.60592176671954578</v>
      </c>
      <c r="R35" s="63">
        <v>0.7263843648208469</v>
      </c>
    </row>
    <row r="36" spans="1:22" x14ac:dyDescent="0.3">
      <c r="A36" s="62">
        <v>2022</v>
      </c>
      <c r="B36" s="60">
        <v>3836</v>
      </c>
      <c r="C36" s="63">
        <v>0.42857142857142855</v>
      </c>
      <c r="D36" s="63">
        <v>0.52795138888888893</v>
      </c>
      <c r="E36" s="63">
        <v>0.63943957300800613</v>
      </c>
      <c r="N36" s="62">
        <v>2022</v>
      </c>
      <c r="O36" s="60">
        <v>7555</v>
      </c>
      <c r="P36" s="63">
        <v>0.47975077881619937</v>
      </c>
      <c r="Q36" s="63">
        <v>0.6</v>
      </c>
      <c r="R36" s="63">
        <v>0.72727272727272729</v>
      </c>
    </row>
    <row r="37" spans="1:22" x14ac:dyDescent="0.3">
      <c r="B37" s="58"/>
      <c r="O37" s="58"/>
    </row>
    <row r="38" spans="1:22" x14ac:dyDescent="0.3">
      <c r="A38" s="65" t="str">
        <f>CONCATENATE("Table 32a. College Enrollment Rates in the First Year after High School Graduation for Classes ",A40," and ",A41,", Student-Weighted Totals")</f>
        <v>Table 32a. College Enrollment Rates in the First Year after High School Graduation for Classes 2021 and 2022, Student-Weighted Totals</v>
      </c>
      <c r="B38" s="58"/>
      <c r="N38" s="65" t="str">
        <f>CONCATENATE("Table 32b. College Enrollment Rates in the First Year after High School Graduation for Classes ",N40," and ",N41,", Student-Weighted Totals")</f>
        <v>Table 32b. College Enrollment Rates in the First Year after High School Graduation for Classes 2021 and 2022, Student-Weighted Totals</v>
      </c>
      <c r="O38" s="58"/>
    </row>
    <row r="39" spans="1:22" ht="28.8" x14ac:dyDescent="0.3">
      <c r="A39" s="59"/>
      <c r="B39" s="60" t="s">
        <v>438</v>
      </c>
      <c r="C39" s="61" t="s">
        <v>439</v>
      </c>
      <c r="D39" s="61" t="s">
        <v>105</v>
      </c>
      <c r="E39" s="61" t="s">
        <v>106</v>
      </c>
      <c r="F39" s="61" t="s">
        <v>440</v>
      </c>
      <c r="G39" s="61" t="s">
        <v>441</v>
      </c>
      <c r="H39" s="61" t="s">
        <v>442</v>
      </c>
      <c r="I39" s="61" t="s">
        <v>443</v>
      </c>
      <c r="N39" s="59"/>
      <c r="O39" s="60" t="s">
        <v>438</v>
      </c>
      <c r="P39" s="61" t="s">
        <v>439</v>
      </c>
      <c r="Q39" s="61" t="s">
        <v>105</v>
      </c>
      <c r="R39" s="61" t="s">
        <v>106</v>
      </c>
      <c r="S39" s="61" t="s">
        <v>440</v>
      </c>
      <c r="T39" s="61" t="s">
        <v>441</v>
      </c>
      <c r="U39" s="61" t="s">
        <v>442</v>
      </c>
      <c r="V39" s="61" t="s">
        <v>443</v>
      </c>
    </row>
    <row r="40" spans="1:22" x14ac:dyDescent="0.3">
      <c r="A40" s="62">
        <v>2021</v>
      </c>
      <c r="B40" s="60">
        <v>725745</v>
      </c>
      <c r="C40" s="63">
        <v>0.53418073841363012</v>
      </c>
      <c r="D40" s="63">
        <v>0.47042556269764174</v>
      </c>
      <c r="E40" s="63">
        <v>6.3755175715988405E-2</v>
      </c>
      <c r="F40" s="63">
        <v>0.24385424632618896</v>
      </c>
      <c r="G40" s="63">
        <v>0.29027413209873992</v>
      </c>
      <c r="H40" s="63">
        <v>0.47763608429958182</v>
      </c>
      <c r="I40" s="63">
        <v>5.6544654114048326E-2</v>
      </c>
      <c r="N40" s="62">
        <v>2021</v>
      </c>
      <c r="O40" s="60">
        <v>1489893</v>
      </c>
      <c r="P40" s="63">
        <v>0.6553806212929385</v>
      </c>
      <c r="Q40" s="63">
        <v>0.52079444631258753</v>
      </c>
      <c r="R40" s="63">
        <v>0.13458617498035094</v>
      </c>
      <c r="S40" s="63">
        <v>0.19097680168978579</v>
      </c>
      <c r="T40" s="63">
        <v>0.4643997924683182</v>
      </c>
      <c r="U40" s="63">
        <v>0.4993452549948218</v>
      </c>
      <c r="V40" s="63">
        <v>0.15603536629811671</v>
      </c>
    </row>
    <row r="41" spans="1:22" x14ac:dyDescent="0.3">
      <c r="A41" s="62">
        <v>2022</v>
      </c>
      <c r="B41" s="60">
        <v>734098</v>
      </c>
      <c r="C41" s="63">
        <v>0.55954790777253172</v>
      </c>
      <c r="D41" s="63">
        <v>0.49661898002718985</v>
      </c>
      <c r="E41" s="63">
        <v>6.2928927745341909E-2</v>
      </c>
      <c r="F41" s="63">
        <v>0.26775989036886083</v>
      </c>
      <c r="G41" s="63">
        <v>0.29178801740367089</v>
      </c>
      <c r="H41" s="63">
        <v>0.50546248593512033</v>
      </c>
      <c r="I41" s="63">
        <v>5.4085421837411357E-2</v>
      </c>
      <c r="N41" s="62">
        <v>2022</v>
      </c>
      <c r="O41" s="60">
        <v>1462920</v>
      </c>
      <c r="P41" s="63">
        <v>0.66287698575451837</v>
      </c>
      <c r="Q41" s="63">
        <v>0.5316401443687967</v>
      </c>
      <c r="R41" s="63">
        <v>0.1312368413857217</v>
      </c>
      <c r="S41" s="63">
        <v>0.19078350149017034</v>
      </c>
      <c r="T41" s="63">
        <v>0.472093484264348</v>
      </c>
      <c r="U41" s="63">
        <v>0.50513356847947943</v>
      </c>
      <c r="V41" s="63">
        <v>0.15774341727503896</v>
      </c>
    </row>
    <row r="43" spans="1:22" x14ac:dyDescent="0.3">
      <c r="A43">
        <v>2021</v>
      </c>
    </row>
    <row r="44" spans="1:22" x14ac:dyDescent="0.3">
      <c r="A44">
        <v>2022</v>
      </c>
    </row>
    <row r="46" spans="1:22" x14ac:dyDescent="0.3">
      <c r="A46">
        <v>2021</v>
      </c>
    </row>
    <row r="47" spans="1:22" x14ac:dyDescent="0.3">
      <c r="A47">
        <v>2022</v>
      </c>
    </row>
    <row r="63" spans="1:18" x14ac:dyDescent="0.3">
      <c r="A63" s="65" t="str">
        <f>CONCATENATE("Table 33a. College Enrollment Rates in the First Two Years after High School Graduation for Classes ",A65," and ",A66,", School Percentile Distribution")</f>
        <v>Table 33a. College Enrollment Rates in the First Two Years after High School Graduation for Classes 2020 and 2021, School Percentile Distribution</v>
      </c>
      <c r="B63" s="58"/>
      <c r="N63" s="65" t="str">
        <f>CONCATENATE("Table 33b. College Enrollment Rates in the First Two Years after High School Graduation for Classes ",N65," and ",N66,", School Percentile Distribution")</f>
        <v>Table 33b. College Enrollment Rates in the First Two Years after High School Graduation for Classes 2020 and 2021, School Percentile Distribution</v>
      </c>
      <c r="O63" s="58"/>
    </row>
    <row r="64" spans="1:18" ht="28.8" x14ac:dyDescent="0.3">
      <c r="A64" s="59"/>
      <c r="B64" s="60" t="s">
        <v>434</v>
      </c>
      <c r="C64" s="61" t="s">
        <v>435</v>
      </c>
      <c r="D64" s="61" t="s">
        <v>436</v>
      </c>
      <c r="E64" s="61" t="s">
        <v>437</v>
      </c>
      <c r="N64" s="59"/>
      <c r="O64" s="60" t="s">
        <v>434</v>
      </c>
      <c r="P64" s="61" t="s">
        <v>435</v>
      </c>
      <c r="Q64" s="61" t="s">
        <v>436</v>
      </c>
      <c r="R64" s="61" t="s">
        <v>437</v>
      </c>
    </row>
    <row r="65" spans="1:22" x14ac:dyDescent="0.3">
      <c r="A65" s="62">
        <v>2020</v>
      </c>
      <c r="B65" s="60">
        <v>4546</v>
      </c>
      <c r="C65" s="63">
        <v>0.44565217391304346</v>
      </c>
      <c r="D65" s="63">
        <v>0.547295321637427</v>
      </c>
      <c r="E65" s="63">
        <v>0.65217391304347827</v>
      </c>
      <c r="G65" s="64"/>
      <c r="I65" s="64"/>
      <c r="N65" s="62">
        <v>2020</v>
      </c>
      <c r="O65" s="60">
        <v>6818</v>
      </c>
      <c r="P65" s="63">
        <v>0.55140186915887845</v>
      </c>
      <c r="Q65" s="63">
        <v>0.66481981705445392</v>
      </c>
      <c r="R65" s="63">
        <v>0.77777777777777779</v>
      </c>
      <c r="T65" s="64"/>
      <c r="V65" s="64"/>
    </row>
    <row r="66" spans="1:22" x14ac:dyDescent="0.3">
      <c r="A66" s="62">
        <v>2021</v>
      </c>
      <c r="B66" s="60">
        <v>3842</v>
      </c>
      <c r="C66" s="63">
        <v>0.45833333333333331</v>
      </c>
      <c r="D66" s="63">
        <v>0.56097560975609762</v>
      </c>
      <c r="E66" s="63">
        <v>0.660377358490566</v>
      </c>
      <c r="N66" s="62">
        <v>2021</v>
      </c>
      <c r="O66" s="60">
        <v>7474</v>
      </c>
      <c r="P66" s="63">
        <v>0.528023598820059</v>
      </c>
      <c r="Q66" s="63">
        <v>0.64444444444444449</v>
      </c>
      <c r="R66" s="63">
        <v>0.76276276276276278</v>
      </c>
    </row>
    <row r="67" spans="1:22" x14ac:dyDescent="0.3">
      <c r="B67" s="58"/>
      <c r="O67" s="58"/>
    </row>
    <row r="68" spans="1:22" x14ac:dyDescent="0.3">
      <c r="A68" s="2" t="str">
        <f>CONCATENATE("Table 34a. College Enrollment Rates in the First Two Years after High School Graduation for Classes ",A70," and ",A71,", Student-Weighted Totals")</f>
        <v>Table 34a. College Enrollment Rates in the First Two Years after High School Graduation for Classes 2020 and 2021, Student-Weighted Totals</v>
      </c>
      <c r="B68" s="58"/>
      <c r="N68" s="2" t="str">
        <f>CONCATENATE("Table 34b. College Enrollment Rates in the First Two Years after High School Graduation for Classes ",N70," and ",N71,", Student-Weighted Totals")</f>
        <v>Table 34b. College Enrollment Rates in the First Two Years after High School Graduation for Classes 2020 and 2021, Student-Weighted Totals</v>
      </c>
      <c r="O68" s="58"/>
    </row>
    <row r="69" spans="1:22" ht="28.8" x14ac:dyDescent="0.3">
      <c r="A69" s="59"/>
      <c r="B69" s="60" t="s">
        <v>438</v>
      </c>
      <c r="C69" s="61" t="s">
        <v>439</v>
      </c>
      <c r="D69" s="61" t="s">
        <v>105</v>
      </c>
      <c r="E69" s="61" t="s">
        <v>106</v>
      </c>
      <c r="F69" s="61" t="s">
        <v>440</v>
      </c>
      <c r="G69" s="61" t="s">
        <v>441</v>
      </c>
      <c r="H69" s="61" t="s">
        <v>442</v>
      </c>
      <c r="I69" s="61" t="s">
        <v>443</v>
      </c>
      <c r="N69" s="59"/>
      <c r="O69" s="60" t="s">
        <v>438</v>
      </c>
      <c r="P69" s="61" t="s">
        <v>439</v>
      </c>
      <c r="Q69" s="61" t="s">
        <v>105</v>
      </c>
      <c r="R69" s="61" t="s">
        <v>106</v>
      </c>
      <c r="S69" s="61" t="s">
        <v>440</v>
      </c>
      <c r="T69" s="61" t="s">
        <v>441</v>
      </c>
      <c r="U69" s="61" t="s">
        <v>442</v>
      </c>
      <c r="V69" s="61" t="s">
        <v>443</v>
      </c>
    </row>
    <row r="70" spans="1:22" x14ac:dyDescent="0.3">
      <c r="A70" s="62">
        <v>2020</v>
      </c>
      <c r="B70" s="60">
        <v>858309</v>
      </c>
      <c r="C70" s="63">
        <v>0.57571690381902085</v>
      </c>
      <c r="D70" s="63">
        <v>0.50416225392020819</v>
      </c>
      <c r="E70" s="63">
        <v>7.1554649898812661E-2</v>
      </c>
      <c r="F70" s="63">
        <v>0.28106427871547429</v>
      </c>
      <c r="G70" s="63">
        <v>0.29457223447499675</v>
      </c>
      <c r="H70" s="63">
        <v>0.5157303488603755</v>
      </c>
      <c r="I70" s="63">
        <v>5.9986554958645431E-2</v>
      </c>
      <c r="N70" s="62">
        <v>2020</v>
      </c>
      <c r="O70" s="60">
        <v>1411463</v>
      </c>
      <c r="P70" s="63">
        <v>0.70682122025161132</v>
      </c>
      <c r="Q70" s="63">
        <v>0.56582071226805097</v>
      </c>
      <c r="R70" s="63">
        <v>0.14100050798356031</v>
      </c>
      <c r="S70" s="63">
        <v>0.2236856368179683</v>
      </c>
      <c r="T70" s="63">
        <v>0.4831284985862187</v>
      </c>
      <c r="U70" s="63">
        <v>0.55021775278558493</v>
      </c>
      <c r="V70" s="63">
        <v>0.15660346746602638</v>
      </c>
    </row>
    <row r="71" spans="1:22" x14ac:dyDescent="0.3">
      <c r="A71" s="62">
        <v>2021</v>
      </c>
      <c r="B71" s="60">
        <v>725745</v>
      </c>
      <c r="C71" s="63">
        <v>0.57968156859502995</v>
      </c>
      <c r="D71" s="63">
        <v>0.51069866137555198</v>
      </c>
      <c r="E71" s="63">
        <v>6.8982907219477918E-2</v>
      </c>
      <c r="F71" s="63">
        <v>0.27580899627279554</v>
      </c>
      <c r="G71" s="63">
        <v>0.30380229970581951</v>
      </c>
      <c r="H71" s="63">
        <v>0.51593328235123903</v>
      </c>
      <c r="I71" s="63">
        <v>6.3748286243790864E-2</v>
      </c>
      <c r="N71" s="62">
        <v>2021</v>
      </c>
      <c r="O71" s="60">
        <v>1489893</v>
      </c>
      <c r="P71" s="63">
        <v>0.69324709895274361</v>
      </c>
      <c r="Q71" s="63">
        <v>0.55346524884672921</v>
      </c>
      <c r="R71" s="63">
        <v>0.13978185010601432</v>
      </c>
      <c r="S71" s="63">
        <v>0.21457312706348711</v>
      </c>
      <c r="T71" s="63">
        <v>0.47866927356528288</v>
      </c>
      <c r="U71" s="63">
        <v>0.52903463537314421</v>
      </c>
      <c r="V71" s="63">
        <v>0.16421246357959934</v>
      </c>
    </row>
    <row r="73" spans="1:22" x14ac:dyDescent="0.3">
      <c r="A73">
        <v>2020</v>
      </c>
    </row>
    <row r="74" spans="1:22" x14ac:dyDescent="0.3">
      <c r="A74">
        <v>2021</v>
      </c>
    </row>
    <row r="76" spans="1:22" x14ac:dyDescent="0.3">
      <c r="A76">
        <v>2020</v>
      </c>
    </row>
    <row r="77" spans="1:22" x14ac:dyDescent="0.3">
      <c r="A77">
        <v>2021</v>
      </c>
    </row>
    <row r="92" spans="1:22" x14ac:dyDescent="0.3">
      <c r="A92" s="65" t="str">
        <f>CONCATENATE("Table 35a. Persistence Rates from First to Second Year of College for Class of ",A94," and ",A95,", School Percentile Distribution")</f>
        <v>Table 35a. Persistence Rates from First to Second Year of College for Class of 2020 and 2021, School Percentile Distribution</v>
      </c>
      <c r="B92" s="58"/>
      <c r="N92" s="65" t="str">
        <f>CONCATENATE("Table 35b. Persistence Rates from First to Second Year of College for Class of ",N94," and ",N95,", School Percentile Distribution")</f>
        <v>Table 35b. Persistence Rates from First to Second Year of College for Class of 2020 and 2021, School Percentile Distribution</v>
      </c>
      <c r="O92" s="58"/>
    </row>
    <row r="93" spans="1:22" ht="28.8" x14ac:dyDescent="0.3">
      <c r="A93" s="59"/>
      <c r="B93" s="60" t="s">
        <v>434</v>
      </c>
      <c r="C93" s="61" t="s">
        <v>435</v>
      </c>
      <c r="D93" s="61" t="s">
        <v>436</v>
      </c>
      <c r="E93" s="61" t="s">
        <v>437</v>
      </c>
      <c r="N93" s="59"/>
      <c r="O93" s="60" t="s">
        <v>434</v>
      </c>
      <c r="P93" s="61" t="s">
        <v>435</v>
      </c>
      <c r="Q93" s="61" t="s">
        <v>436</v>
      </c>
      <c r="R93" s="61" t="s">
        <v>437</v>
      </c>
    </row>
    <row r="94" spans="1:22" x14ac:dyDescent="0.3">
      <c r="A94" s="62">
        <v>2020</v>
      </c>
      <c r="B94" s="60">
        <v>4546</v>
      </c>
      <c r="C94" s="63">
        <v>0.65579093038109426</v>
      </c>
      <c r="D94" s="63">
        <v>0.72771115139682974</v>
      </c>
      <c r="E94" s="63">
        <v>0.79525684289463816</v>
      </c>
      <c r="G94" s="64"/>
      <c r="I94" s="64"/>
      <c r="N94" s="62">
        <v>2020</v>
      </c>
      <c r="O94" s="60">
        <v>6818</v>
      </c>
      <c r="P94" s="63">
        <v>0.75518672199170123</v>
      </c>
      <c r="Q94" s="63">
        <v>0.82839260257386682</v>
      </c>
      <c r="R94" s="63">
        <v>0.88823529411764701</v>
      </c>
      <c r="T94" s="64"/>
      <c r="V94" s="64"/>
    </row>
    <row r="95" spans="1:22" x14ac:dyDescent="0.3">
      <c r="A95" s="62">
        <v>2021</v>
      </c>
      <c r="B95" s="60">
        <v>3842</v>
      </c>
      <c r="C95" s="63">
        <v>0.69230769230769229</v>
      </c>
      <c r="D95" s="63">
        <v>0.76470588235294112</v>
      </c>
      <c r="E95" s="63">
        <v>0.82424242424242422</v>
      </c>
      <c r="N95" s="62">
        <v>2021</v>
      </c>
      <c r="O95" s="60">
        <v>7474</v>
      </c>
      <c r="P95" s="63">
        <v>0.76635514018691586</v>
      </c>
      <c r="Q95" s="63">
        <v>0.83980582524271841</v>
      </c>
      <c r="R95" s="63">
        <v>0.89690721649484539</v>
      </c>
    </row>
    <row r="96" spans="1:22" x14ac:dyDescent="0.3">
      <c r="B96" s="58"/>
      <c r="O96" s="58"/>
    </row>
    <row r="97" spans="1:22" x14ac:dyDescent="0.3">
      <c r="B97" s="58"/>
      <c r="O97" s="58"/>
    </row>
    <row r="98" spans="1:22" x14ac:dyDescent="0.3">
      <c r="A98" s="65" t="str">
        <f>CONCATENATE("Table 36a. Persistence Rates from First to Second Year of College for Class of ",A100," and ",A101,", Student-Weighted Totals")</f>
        <v>Table 36a. Persistence Rates from First to Second Year of College for Class of 2020 and 2021, Student-Weighted Totals</v>
      </c>
      <c r="B98" s="58"/>
      <c r="N98" s="65" t="str">
        <f>CONCATENATE("Table 36b. Persistence Rates from First to Second Year of College for Class of ",N100," and ",N101,", Student-Weighted Totals")</f>
        <v>Table 36b. Persistence Rates from First to Second Year of College for Class of 2020 and 2021, Student-Weighted Totals</v>
      </c>
      <c r="O98" s="58"/>
    </row>
    <row r="99" spans="1:22" ht="43.2" x14ac:dyDescent="0.3">
      <c r="A99" s="59"/>
      <c r="B99" s="60" t="s">
        <v>444</v>
      </c>
      <c r="C99" s="61" t="s">
        <v>439</v>
      </c>
      <c r="D99" s="61" t="s">
        <v>105</v>
      </c>
      <c r="E99" s="61" t="s">
        <v>106</v>
      </c>
      <c r="F99" s="61" t="s">
        <v>440</v>
      </c>
      <c r="G99" s="61" t="s">
        <v>441</v>
      </c>
      <c r="H99" s="61" t="s">
        <v>442</v>
      </c>
      <c r="I99" s="61" t="s">
        <v>443</v>
      </c>
      <c r="N99" s="59"/>
      <c r="O99" s="60" t="s">
        <v>444</v>
      </c>
      <c r="P99" s="61" t="s">
        <v>439</v>
      </c>
      <c r="Q99" s="61" t="s">
        <v>105</v>
      </c>
      <c r="R99" s="61" t="s">
        <v>106</v>
      </c>
      <c r="S99" s="61" t="s">
        <v>440</v>
      </c>
      <c r="T99" s="61" t="s">
        <v>441</v>
      </c>
      <c r="U99" s="61" t="s">
        <v>442</v>
      </c>
      <c r="V99" s="61" t="s">
        <v>443</v>
      </c>
    </row>
    <row r="100" spans="1:22" x14ac:dyDescent="0.3">
      <c r="A100" s="62">
        <v>2020</v>
      </c>
      <c r="B100" s="60">
        <v>459125</v>
      </c>
      <c r="C100" s="63">
        <v>0.74897903621018236</v>
      </c>
      <c r="D100" s="63">
        <v>0.74292830368772189</v>
      </c>
      <c r="E100" s="63">
        <v>0.79182286991569428</v>
      </c>
      <c r="F100" s="63">
        <v>0.65762528692101996</v>
      </c>
      <c r="G100" s="63">
        <v>0.83058302656041949</v>
      </c>
      <c r="H100" s="63">
        <v>0.74471008252948523</v>
      </c>
      <c r="I100" s="63">
        <v>0.78760093660415342</v>
      </c>
      <c r="N100" s="62">
        <v>2020</v>
      </c>
      <c r="O100" s="60">
        <v>945368</v>
      </c>
      <c r="P100" s="63">
        <v>0.85644108960743326</v>
      </c>
      <c r="Q100" s="63">
        <v>0.84214270856656814</v>
      </c>
      <c r="R100" s="63">
        <v>0.9130676600991684</v>
      </c>
      <c r="S100" s="63">
        <v>0.72420648138084331</v>
      </c>
      <c r="T100" s="63">
        <v>0.91358097627184376</v>
      </c>
      <c r="U100" s="63">
        <v>0.84002415344220471</v>
      </c>
      <c r="V100" s="63">
        <v>0.91449189829809086</v>
      </c>
    </row>
    <row r="101" spans="1:22" x14ac:dyDescent="0.3">
      <c r="A101" s="62">
        <v>2021</v>
      </c>
      <c r="B101" s="60">
        <v>387679</v>
      </c>
      <c r="C101" s="63">
        <v>0.7832304561247837</v>
      </c>
      <c r="D101" s="63">
        <v>0.77743996203966503</v>
      </c>
      <c r="E101" s="63">
        <v>0.82595634320293931</v>
      </c>
      <c r="F101" s="63">
        <v>0.70131543260103069</v>
      </c>
      <c r="G101" s="63">
        <v>0.85217762798756325</v>
      </c>
      <c r="H101" s="63">
        <v>0.77917851847150665</v>
      </c>
      <c r="I101" s="63">
        <v>0.81745741647781267</v>
      </c>
      <c r="N101" s="62">
        <v>2021</v>
      </c>
      <c r="O101" s="60">
        <v>976447</v>
      </c>
      <c r="P101" s="63">
        <v>0.86713052526148371</v>
      </c>
      <c r="Q101" s="63">
        <v>0.85398516357187781</v>
      </c>
      <c r="R101" s="63">
        <v>0.91799779572010631</v>
      </c>
      <c r="S101" s="63">
        <v>0.74065756409580541</v>
      </c>
      <c r="T101" s="63">
        <v>0.91914797674828663</v>
      </c>
      <c r="U101" s="63">
        <v>0.85026298068069861</v>
      </c>
      <c r="V101" s="63">
        <v>0.92111013610007053</v>
      </c>
    </row>
    <row r="103" spans="1:22" x14ac:dyDescent="0.3">
      <c r="A103">
        <v>2020</v>
      </c>
    </row>
    <row r="104" spans="1:22" x14ac:dyDescent="0.3">
      <c r="A104">
        <v>2021</v>
      </c>
    </row>
    <row r="106" spans="1:22" x14ac:dyDescent="0.3">
      <c r="A106">
        <v>2020</v>
      </c>
    </row>
    <row r="107" spans="1:22" x14ac:dyDescent="0.3">
      <c r="A107">
        <v>2021</v>
      </c>
    </row>
    <row r="122" spans="1:22" x14ac:dyDescent="0.3">
      <c r="A122" s="65" t="str">
        <f>CONCATENATE("Table 37a. Six-Year Completion Rates for Class of ",,A124," and ",A125,", School Percentile Distribution")</f>
        <v>Table 37a. Six-Year Completion Rates for Class of 2016 and 2017, School Percentile Distribution</v>
      </c>
      <c r="B122" s="58"/>
      <c r="N122" s="65" t="str">
        <f>CONCATENATE("Table 37b. Six-Year Completion Rates for Class of ",N124," and ",N125,", School Percentile Distribution")</f>
        <v>Table 37b. Six-Year Completion Rates for Class of 2016 and 2017, School Percentile Distribution</v>
      </c>
      <c r="O122" s="58"/>
    </row>
    <row r="123" spans="1:22" ht="28.8" x14ac:dyDescent="0.3">
      <c r="A123" s="59"/>
      <c r="B123" s="60" t="s">
        <v>434</v>
      </c>
      <c r="C123" s="61" t="s">
        <v>435</v>
      </c>
      <c r="D123" s="61" t="s">
        <v>436</v>
      </c>
      <c r="E123" s="61" t="s">
        <v>437</v>
      </c>
      <c r="N123" s="59"/>
      <c r="O123" s="60" t="s">
        <v>434</v>
      </c>
      <c r="P123" s="61" t="s">
        <v>435</v>
      </c>
      <c r="Q123" s="61" t="s">
        <v>436</v>
      </c>
      <c r="R123" s="61" t="s">
        <v>437</v>
      </c>
    </row>
    <row r="124" spans="1:22" x14ac:dyDescent="0.3">
      <c r="A124" s="62">
        <v>2016</v>
      </c>
      <c r="B124" s="60">
        <v>4269</v>
      </c>
      <c r="C124" s="63">
        <v>0.19178082191780821</v>
      </c>
      <c r="D124" s="63">
        <v>0.27450980392156865</v>
      </c>
      <c r="E124" s="63">
        <v>0.35384615384615387</v>
      </c>
      <c r="G124" s="64"/>
      <c r="I124" s="64"/>
      <c r="N124" s="62">
        <v>2016</v>
      </c>
      <c r="O124" s="60">
        <v>6455</v>
      </c>
      <c r="P124" s="63">
        <v>0.34753363228699552</v>
      </c>
      <c r="Q124" s="63">
        <v>0.45134575569358176</v>
      </c>
      <c r="R124" s="63">
        <v>0.5625</v>
      </c>
      <c r="T124" s="64"/>
      <c r="V124" s="64"/>
    </row>
    <row r="125" spans="1:22" x14ac:dyDescent="0.3">
      <c r="A125" s="62">
        <v>2017</v>
      </c>
      <c r="B125" s="60">
        <v>4041</v>
      </c>
      <c r="C125" s="63">
        <v>0.18840579710144928</v>
      </c>
      <c r="D125" s="63">
        <v>0.26681614349775784</v>
      </c>
      <c r="E125" s="63">
        <v>0.34967320261437906</v>
      </c>
      <c r="N125" s="62">
        <v>2017</v>
      </c>
      <c r="O125" s="60">
        <v>6740</v>
      </c>
      <c r="P125" s="63">
        <v>0.33333333333333331</v>
      </c>
      <c r="Q125" s="63">
        <v>0.43859649122807015</v>
      </c>
      <c r="R125" s="63">
        <v>0.55555555555555558</v>
      </c>
    </row>
    <row r="126" spans="1:22" x14ac:dyDescent="0.3">
      <c r="A126" s="73"/>
      <c r="B126" s="74"/>
      <c r="C126" s="76"/>
      <c r="D126" s="76"/>
      <c r="E126" s="76"/>
      <c r="N126" s="73"/>
      <c r="O126" s="74"/>
      <c r="P126" s="76"/>
      <c r="Q126" s="76"/>
      <c r="R126" s="76"/>
    </row>
    <row r="127" spans="1:22" x14ac:dyDescent="0.3">
      <c r="B127" s="58"/>
      <c r="O127" s="58"/>
    </row>
    <row r="128" spans="1:22" x14ac:dyDescent="0.3">
      <c r="A128" s="65" t="str">
        <f>CONCATENATE("Table 38a. Six-Year Completion Rates for Class of ",A130," and ",A131, ", Student-Weighted Totals")</f>
        <v>Table 38a. Six-Year Completion Rates for Class of 2016 and 2017, Student-Weighted Totals</v>
      </c>
      <c r="B128" s="58"/>
      <c r="N128" s="65" t="str">
        <f>CONCATENATE("Table 38b. Six-Year Completion Rates for Class of ",,N130," and ",N131, ", Student-Weighted Totals")</f>
        <v>Table 38b. Six-Year Completion Rates for Class of 2016 and 2017, Student-Weighted Totals</v>
      </c>
      <c r="O128" s="58"/>
    </row>
    <row r="129" spans="1:22" ht="28.8" x14ac:dyDescent="0.3">
      <c r="A129" s="59"/>
      <c r="B129" s="60" t="s">
        <v>438</v>
      </c>
      <c r="C129" s="61" t="s">
        <v>439</v>
      </c>
      <c r="D129" s="61" t="s">
        <v>105</v>
      </c>
      <c r="E129" s="61" t="s">
        <v>106</v>
      </c>
      <c r="F129" s="61" t="s">
        <v>440</v>
      </c>
      <c r="G129" s="61" t="s">
        <v>441</v>
      </c>
      <c r="H129" s="61" t="s">
        <v>442</v>
      </c>
      <c r="I129" s="61" t="s">
        <v>443</v>
      </c>
      <c r="N129" s="59"/>
      <c r="O129" s="60" t="s">
        <v>438</v>
      </c>
      <c r="P129" s="61" t="s">
        <v>439</v>
      </c>
      <c r="Q129" s="61" t="s">
        <v>105</v>
      </c>
      <c r="R129" s="61" t="s">
        <v>106</v>
      </c>
      <c r="S129" s="61" t="s">
        <v>440</v>
      </c>
      <c r="T129" s="61" t="s">
        <v>441</v>
      </c>
      <c r="U129" s="61" t="s">
        <v>442</v>
      </c>
      <c r="V129" s="61" t="s">
        <v>443</v>
      </c>
    </row>
    <row r="130" spans="1:22" x14ac:dyDescent="0.3">
      <c r="A130" s="62">
        <v>2016</v>
      </c>
      <c r="B130" s="60">
        <v>741147</v>
      </c>
      <c r="C130" s="63">
        <v>0.28983858802639695</v>
      </c>
      <c r="D130" s="63">
        <v>0.24272107962388029</v>
      </c>
      <c r="E130" s="63">
        <v>4.711750840251664E-2</v>
      </c>
      <c r="F130" s="63">
        <v>9.3824841765533698E-2</v>
      </c>
      <c r="G130" s="63">
        <v>0.19576818094116283</v>
      </c>
      <c r="H130" s="63">
        <v>0.25454329572945716</v>
      </c>
      <c r="I130" s="63">
        <v>3.5295292296939743E-2</v>
      </c>
      <c r="N130" s="62">
        <v>2016</v>
      </c>
      <c r="O130" s="60">
        <v>1290409</v>
      </c>
      <c r="P130" s="63">
        <v>0.49917351785364178</v>
      </c>
      <c r="Q130" s="63">
        <v>0.37673481818555205</v>
      </c>
      <c r="R130" s="63">
        <v>0.12243869966808973</v>
      </c>
      <c r="S130" s="63">
        <v>9.3006170911703184E-2</v>
      </c>
      <c r="T130" s="63">
        <v>0.40612937448514386</v>
      </c>
      <c r="U130" s="63">
        <v>0.37243928087916311</v>
      </c>
      <c r="V130" s="63">
        <v>0.12673423697447864</v>
      </c>
    </row>
    <row r="131" spans="1:22" x14ac:dyDescent="0.3">
      <c r="A131" s="62">
        <v>2017</v>
      </c>
      <c r="B131" s="60">
        <v>725688</v>
      </c>
      <c r="C131" s="63">
        <v>0.28885554122432783</v>
      </c>
      <c r="D131" s="63">
        <v>0.24143709142220898</v>
      </c>
      <c r="E131" s="63">
        <v>4.7418449802118817E-2</v>
      </c>
      <c r="F131" s="63">
        <v>9.4481374915941843E-2</v>
      </c>
      <c r="G131" s="63">
        <v>0.19414128385752555</v>
      </c>
      <c r="H131" s="63">
        <v>0.25385840746987687</v>
      </c>
      <c r="I131" s="63">
        <v>3.4997133754450946E-2</v>
      </c>
      <c r="N131" s="62">
        <v>2017</v>
      </c>
      <c r="O131" s="60">
        <v>1337068</v>
      </c>
      <c r="P131" s="63">
        <v>0.48886144908112378</v>
      </c>
      <c r="Q131" s="63">
        <v>0.36975681117190751</v>
      </c>
      <c r="R131" s="63">
        <v>0.11910463790921628</v>
      </c>
      <c r="S131" s="63">
        <v>9.0652083514077067E-2</v>
      </c>
      <c r="T131" s="63">
        <v>0.39818094517257163</v>
      </c>
      <c r="U131" s="63">
        <v>0.36500462205362777</v>
      </c>
      <c r="V131" s="63">
        <v>0.12385682702749598</v>
      </c>
    </row>
    <row r="133" spans="1:22" x14ac:dyDescent="0.3">
      <c r="A133">
        <v>2016</v>
      </c>
    </row>
    <row r="134" spans="1:22" x14ac:dyDescent="0.3">
      <c r="A134">
        <v>2017</v>
      </c>
    </row>
    <row r="136" spans="1:22" x14ac:dyDescent="0.3">
      <c r="A136">
        <v>2016</v>
      </c>
    </row>
    <row r="137" spans="1:22" x14ac:dyDescent="0.3">
      <c r="A137">
        <v>2017</v>
      </c>
    </row>
  </sheetData>
  <mergeCells count="2">
    <mergeCell ref="A2:L2"/>
    <mergeCell ref="N2:Y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FF3DC-E64B-4F95-8B54-AA4EAE9FF7E9}">
  <dimension ref="A1:Y137"/>
  <sheetViews>
    <sheetView zoomScale="80" zoomScaleNormal="80" workbookViewId="0">
      <selection activeCell="M139" sqref="M139"/>
    </sheetView>
  </sheetViews>
  <sheetFormatPr defaultRowHeight="14.4" x14ac:dyDescent="0.3"/>
  <cols>
    <col min="2" max="2" width="14.5546875" customWidth="1"/>
    <col min="3" max="3" width="11.5546875" customWidth="1"/>
    <col min="4" max="4" width="10.5546875" customWidth="1"/>
    <col min="5" max="5" width="11.6640625" customWidth="1"/>
    <col min="13" max="13" width="13.6640625" customWidth="1"/>
    <col min="15" max="15" width="13.33203125" customWidth="1"/>
    <col min="16" max="16" width="11.5546875" customWidth="1"/>
    <col min="17" max="17" width="10.33203125" customWidth="1"/>
    <col min="18" max="18" width="10.109375" customWidth="1"/>
  </cols>
  <sheetData>
    <row r="1" spans="1:25" ht="28.8" x14ac:dyDescent="0.3">
      <c r="A1" s="53" t="s">
        <v>448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</row>
    <row r="2" spans="1:25" ht="18" x14ac:dyDescent="0.3">
      <c r="A2" s="106" t="s">
        <v>449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55"/>
      <c r="N2" s="106" t="s">
        <v>450</v>
      </c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</row>
    <row r="3" spans="1:25" x14ac:dyDescent="0.3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7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</row>
    <row r="4" spans="1:25" x14ac:dyDescent="0.3">
      <c r="A4" s="2" t="str">
        <f>CONCATENATE("Table 39a. College Enrollment Rates in the First Fall after High School Graduation for Classes ",A6," and ",A7,", School Percentile Distribution")</f>
        <v>Table 39a. College Enrollment Rates in the First Fall after High School Graduation for Classes 2022 and 2023, School Percentile Distribution</v>
      </c>
      <c r="B4" s="58"/>
      <c r="N4" s="2" t="str">
        <f>CONCATENATE("Table 39b. College Enrollment Rates in the First Fall after High School Graduation for Classes ",N6," and ",N7,", School Percentile Distribution")</f>
        <v>Table 39b. College Enrollment Rates in the First Fall after High School Graduation for Classes 2022 and 2023, School Percentile Distribution</v>
      </c>
      <c r="O4" s="58"/>
    </row>
    <row r="5" spans="1:25" ht="28.8" x14ac:dyDescent="0.3">
      <c r="A5" s="59"/>
      <c r="B5" s="60" t="s">
        <v>434</v>
      </c>
      <c r="C5" s="61" t="s">
        <v>435</v>
      </c>
      <c r="D5" s="61" t="s">
        <v>436</v>
      </c>
      <c r="E5" s="61" t="s">
        <v>437</v>
      </c>
      <c r="N5" s="59"/>
      <c r="O5" s="60" t="s">
        <v>434</v>
      </c>
      <c r="P5" s="61" t="s">
        <v>435</v>
      </c>
      <c r="Q5" s="61" t="s">
        <v>436</v>
      </c>
      <c r="R5" s="61" t="s">
        <v>437</v>
      </c>
    </row>
    <row r="6" spans="1:25" x14ac:dyDescent="0.3">
      <c r="A6" s="62">
        <v>2022</v>
      </c>
      <c r="B6" s="60">
        <v>3691</v>
      </c>
      <c r="C6" s="63">
        <v>0.40170940170940173</v>
      </c>
      <c r="D6" s="63">
        <v>0.50980392156862742</v>
      </c>
      <c r="E6" s="63">
        <v>0.62972972972972974</v>
      </c>
      <c r="G6" s="64"/>
      <c r="I6" s="64"/>
      <c r="N6" s="62">
        <v>2022</v>
      </c>
      <c r="O6" s="60">
        <v>7700</v>
      </c>
      <c r="P6" s="63">
        <v>0.4375</v>
      </c>
      <c r="Q6" s="63">
        <v>0.55645635828702189</v>
      </c>
      <c r="R6" s="63">
        <v>0.68384219474137731</v>
      </c>
      <c r="T6" s="64"/>
      <c r="V6" s="64"/>
    </row>
    <row r="7" spans="1:25" x14ac:dyDescent="0.3">
      <c r="A7" s="62">
        <v>2023</v>
      </c>
      <c r="B7" s="60">
        <v>3489</v>
      </c>
      <c r="C7" s="63">
        <v>0.40099009900990101</v>
      </c>
      <c r="D7" s="63">
        <v>0.51351351351351349</v>
      </c>
      <c r="E7" s="63">
        <v>0.63117870722433456</v>
      </c>
      <c r="N7" s="62">
        <v>2023</v>
      </c>
      <c r="O7" s="60">
        <v>7076</v>
      </c>
      <c r="P7" s="63">
        <v>0.44871794871794873</v>
      </c>
      <c r="Q7" s="63">
        <v>0.5714285714285714</v>
      </c>
      <c r="R7" s="63">
        <v>0.69329243353783232</v>
      </c>
    </row>
    <row r="8" spans="1:25" x14ac:dyDescent="0.3">
      <c r="B8" s="58"/>
      <c r="O8" s="58"/>
    </row>
    <row r="9" spans="1:25" x14ac:dyDescent="0.3">
      <c r="A9" s="2" t="str">
        <f>CONCATENATE("Table 40a. College Enrollment Rates in the First Fall after High School Graduation for Classes ",A11," and ",A12,", Student-Weighted Totals")</f>
        <v>Table 40a. College Enrollment Rates in the First Fall after High School Graduation for Classes 2022 and 2023, Student-Weighted Totals</v>
      </c>
      <c r="B9" s="58"/>
      <c r="N9" s="2" t="str">
        <f>CONCATENATE("Table 40b. College Enrollment Rates in the First Fall after High School Graduation for Classes ",N11," and ",N12,", Student-Weighted Totals")</f>
        <v>Table 40b. College Enrollment Rates in the First Fall after High School Graduation for Classes 2022 and 2023, Student-Weighted Totals</v>
      </c>
      <c r="O9" s="58"/>
    </row>
    <row r="10" spans="1:25" ht="28.8" x14ac:dyDescent="0.3">
      <c r="A10" s="59"/>
      <c r="B10" s="60" t="s">
        <v>438</v>
      </c>
      <c r="C10" s="61" t="s">
        <v>439</v>
      </c>
      <c r="D10" s="61" t="s">
        <v>105</v>
      </c>
      <c r="E10" s="61" t="s">
        <v>106</v>
      </c>
      <c r="F10" s="61" t="s">
        <v>440</v>
      </c>
      <c r="G10" s="61" t="s">
        <v>441</v>
      </c>
      <c r="H10" s="61" t="s">
        <v>442</v>
      </c>
      <c r="I10" s="61" t="s">
        <v>443</v>
      </c>
      <c r="N10" s="59"/>
      <c r="O10" s="60" t="s">
        <v>438</v>
      </c>
      <c r="P10" s="61" t="s">
        <v>439</v>
      </c>
      <c r="Q10" s="61" t="s">
        <v>105</v>
      </c>
      <c r="R10" s="61" t="s">
        <v>106</v>
      </c>
      <c r="S10" s="61" t="s">
        <v>440</v>
      </c>
      <c r="T10" s="61" t="s">
        <v>441</v>
      </c>
      <c r="U10" s="61" t="s">
        <v>442</v>
      </c>
      <c r="V10" s="61" t="s">
        <v>443</v>
      </c>
    </row>
    <row r="11" spans="1:25" x14ac:dyDescent="0.3">
      <c r="A11" s="62">
        <v>2022</v>
      </c>
      <c r="B11" s="60">
        <v>968416</v>
      </c>
      <c r="C11" s="63">
        <v>0.53955118461487628</v>
      </c>
      <c r="D11" s="63">
        <v>0.47141311172058287</v>
      </c>
      <c r="E11" s="63">
        <v>6.8138072894293356E-2</v>
      </c>
      <c r="F11" s="63">
        <v>0.22501177180054852</v>
      </c>
      <c r="G11" s="63">
        <v>0.31453941281432773</v>
      </c>
      <c r="H11" s="63">
        <v>0.47372203681062686</v>
      </c>
      <c r="I11" s="63">
        <v>6.5829147804249408E-2</v>
      </c>
      <c r="N11" s="62">
        <v>2022</v>
      </c>
      <c r="O11" s="60">
        <v>1228602</v>
      </c>
      <c r="P11" s="63">
        <v>0.6371542615102368</v>
      </c>
      <c r="Q11" s="63">
        <v>0.50590020201822883</v>
      </c>
      <c r="R11" s="63">
        <v>0.131254059492008</v>
      </c>
      <c r="S11" s="63">
        <v>0.1751405255729683</v>
      </c>
      <c r="T11" s="63">
        <v>0.46201373593726852</v>
      </c>
      <c r="U11" s="63">
        <v>0.47878076057177182</v>
      </c>
      <c r="V11" s="63">
        <v>0.15837350093846503</v>
      </c>
    </row>
    <row r="12" spans="1:25" x14ac:dyDescent="0.3">
      <c r="A12" s="62">
        <v>2023</v>
      </c>
      <c r="B12" s="60">
        <v>888491</v>
      </c>
      <c r="C12" s="63">
        <v>0.54532009890927424</v>
      </c>
      <c r="D12" s="63">
        <v>0.47179318642507351</v>
      </c>
      <c r="E12" s="63">
        <v>7.3526912484200735E-2</v>
      </c>
      <c r="F12" s="63">
        <v>0.21389749586658729</v>
      </c>
      <c r="G12" s="63">
        <v>0.331422603042687</v>
      </c>
      <c r="H12" s="63">
        <v>0.47816128694606924</v>
      </c>
      <c r="I12" s="63">
        <v>6.7158811963205028E-2</v>
      </c>
      <c r="N12" s="62">
        <v>2023</v>
      </c>
      <c r="O12" s="60">
        <v>1104751</v>
      </c>
      <c r="P12" s="63">
        <v>0.64263892949632995</v>
      </c>
      <c r="Q12" s="63">
        <v>0.50894092877037445</v>
      </c>
      <c r="R12" s="63">
        <v>0.13369800072595545</v>
      </c>
      <c r="S12" s="63">
        <v>0.16890321891539362</v>
      </c>
      <c r="T12" s="63">
        <v>0.47373571058093633</v>
      </c>
      <c r="U12" s="63">
        <v>0.48530030749010411</v>
      </c>
      <c r="V12" s="63">
        <v>0.15733862200622584</v>
      </c>
    </row>
    <row r="14" spans="1:25" x14ac:dyDescent="0.3">
      <c r="A14">
        <v>2022</v>
      </c>
    </row>
    <row r="15" spans="1:25" x14ac:dyDescent="0.3">
      <c r="A15">
        <v>2023</v>
      </c>
    </row>
    <row r="17" spans="1:1" x14ac:dyDescent="0.3">
      <c r="A17">
        <v>2022</v>
      </c>
    </row>
    <row r="18" spans="1:1" x14ac:dyDescent="0.3">
      <c r="A18">
        <v>2023</v>
      </c>
    </row>
    <row r="33" spans="1:22" x14ac:dyDescent="0.3">
      <c r="A33" s="65" t="str">
        <f>CONCATENATE("Table 41a. College Enrollment Rates in the First Year after High School Graduation for Classes ",A35," and ",A36,", School Percentile Distribution")</f>
        <v>Table 41a. College Enrollment Rates in the First Year after High School Graduation for Classes 2021 and 2022, School Percentile Distribution</v>
      </c>
      <c r="B33" s="58"/>
      <c r="N33" s="65" t="str">
        <f>CONCATENATE("Table 41b. College Enrollment Rates in the First Year after High School Graduation for Classes ",N35," and ",N36,", School Percentile Distribution")</f>
        <v>Table 41b. College Enrollment Rates in the First Year after High School Graduation for Classes 2021 and 2022, School Percentile Distribution</v>
      </c>
      <c r="O33" s="58"/>
    </row>
    <row r="34" spans="1:22" ht="28.8" x14ac:dyDescent="0.3">
      <c r="A34" s="59"/>
      <c r="B34" s="60" t="s">
        <v>434</v>
      </c>
      <c r="C34" s="60" t="s">
        <v>435</v>
      </c>
      <c r="D34" s="60" t="s">
        <v>436</v>
      </c>
      <c r="E34" s="60" t="s">
        <v>437</v>
      </c>
      <c r="N34" s="59"/>
      <c r="O34" s="60" t="s">
        <v>434</v>
      </c>
      <c r="P34" s="60" t="s">
        <v>435</v>
      </c>
      <c r="Q34" s="60" t="s">
        <v>436</v>
      </c>
      <c r="R34" s="60" t="s">
        <v>437</v>
      </c>
    </row>
    <row r="35" spans="1:22" x14ac:dyDescent="0.3">
      <c r="A35" s="62">
        <v>2021</v>
      </c>
      <c r="B35" s="60">
        <v>3589</v>
      </c>
      <c r="C35" s="63">
        <v>0.42857142857142855</v>
      </c>
      <c r="D35" s="63">
        <v>0.53488372093023251</v>
      </c>
      <c r="E35" s="63">
        <v>0.64918032786885249</v>
      </c>
      <c r="N35" s="62">
        <v>2021</v>
      </c>
      <c r="O35" s="60">
        <v>7727</v>
      </c>
      <c r="P35" s="63">
        <v>0.47435897435897434</v>
      </c>
      <c r="Q35" s="63">
        <v>0.59047619047619049</v>
      </c>
      <c r="R35" s="63">
        <v>0.71153846153846156</v>
      </c>
    </row>
    <row r="36" spans="1:22" x14ac:dyDescent="0.3">
      <c r="A36" s="62">
        <v>2022</v>
      </c>
      <c r="B36" s="60">
        <v>3691</v>
      </c>
      <c r="C36" s="63">
        <v>0.44117647058823528</v>
      </c>
      <c r="D36" s="63">
        <v>0.55033557046979864</v>
      </c>
      <c r="E36" s="63">
        <v>0.66852367688022285</v>
      </c>
      <c r="N36" s="62">
        <v>2022</v>
      </c>
      <c r="O36" s="60">
        <v>7700</v>
      </c>
      <c r="P36" s="63">
        <v>0.46666666666666667</v>
      </c>
      <c r="Q36" s="63">
        <v>0.58523611831862998</v>
      </c>
      <c r="R36" s="63">
        <v>0.7120477281226627</v>
      </c>
    </row>
    <row r="37" spans="1:22" x14ac:dyDescent="0.3">
      <c r="B37" s="58"/>
      <c r="O37" s="58"/>
    </row>
    <row r="38" spans="1:22" x14ac:dyDescent="0.3">
      <c r="A38" s="65" t="str">
        <f>CONCATENATE("Table 42a. College Enrollment Rates in the First Year after High School Graduation for Classes ",A40," and ",A41,", Student-Weighted Totals")</f>
        <v>Table 42a. College Enrollment Rates in the First Year after High School Graduation for Classes 2021 and 2022, Student-Weighted Totals</v>
      </c>
      <c r="B38" s="58"/>
      <c r="N38" s="65" t="str">
        <f>CONCATENATE("Table 42b. College Enrollment Rates in the First Year after High School Graduation for Classes ",N40," and ",N41,", Student-Weighted Totals")</f>
        <v>Table 42b. College Enrollment Rates in the First Year after High School Graduation for Classes 2021 and 2022, Student-Weighted Totals</v>
      </c>
      <c r="O38" s="58"/>
    </row>
    <row r="39" spans="1:22" ht="28.8" x14ac:dyDescent="0.3">
      <c r="A39" s="59"/>
      <c r="B39" s="60" t="s">
        <v>438</v>
      </c>
      <c r="C39" s="61" t="s">
        <v>439</v>
      </c>
      <c r="D39" s="61" t="s">
        <v>105</v>
      </c>
      <c r="E39" s="61" t="s">
        <v>106</v>
      </c>
      <c r="F39" s="61" t="s">
        <v>440</v>
      </c>
      <c r="G39" s="61" t="s">
        <v>441</v>
      </c>
      <c r="H39" s="61" t="s">
        <v>442</v>
      </c>
      <c r="I39" s="61" t="s">
        <v>443</v>
      </c>
      <c r="N39" s="59"/>
      <c r="O39" s="60" t="s">
        <v>438</v>
      </c>
      <c r="P39" s="61" t="s">
        <v>439</v>
      </c>
      <c r="Q39" s="61" t="s">
        <v>105</v>
      </c>
      <c r="R39" s="61" t="s">
        <v>106</v>
      </c>
      <c r="S39" s="61" t="s">
        <v>440</v>
      </c>
      <c r="T39" s="61" t="s">
        <v>441</v>
      </c>
      <c r="U39" s="61" t="s">
        <v>442</v>
      </c>
      <c r="V39" s="61" t="s">
        <v>443</v>
      </c>
    </row>
    <row r="40" spans="1:22" x14ac:dyDescent="0.3">
      <c r="A40" s="62">
        <v>2021</v>
      </c>
      <c r="B40" s="60">
        <v>955985</v>
      </c>
      <c r="C40" s="63">
        <v>0.5591008227116534</v>
      </c>
      <c r="D40" s="63">
        <v>0.48255882675983408</v>
      </c>
      <c r="E40" s="63">
        <v>7.6541995951819333E-2</v>
      </c>
      <c r="F40" s="63">
        <v>0.23318985130519831</v>
      </c>
      <c r="G40" s="63">
        <v>0.3258691297457596</v>
      </c>
      <c r="H40" s="63">
        <v>0.48636537184160838</v>
      </c>
      <c r="I40" s="63">
        <v>7.2735450870045029E-2</v>
      </c>
      <c r="N40" s="62">
        <v>2021</v>
      </c>
      <c r="O40" s="60">
        <v>1259653</v>
      </c>
      <c r="P40" s="63">
        <v>0.65862106469003767</v>
      </c>
      <c r="Q40" s="63">
        <v>0.52079263098647011</v>
      </c>
      <c r="R40" s="63">
        <v>0.13782843370356757</v>
      </c>
      <c r="S40" s="63">
        <v>0.18940533623148598</v>
      </c>
      <c r="T40" s="63">
        <v>0.46921255298086062</v>
      </c>
      <c r="U40" s="63">
        <v>0.49668837370291657</v>
      </c>
      <c r="V40" s="63">
        <v>0.16193269098712107</v>
      </c>
    </row>
    <row r="41" spans="1:22" x14ac:dyDescent="0.3">
      <c r="A41" s="62">
        <v>2022</v>
      </c>
      <c r="B41" s="60">
        <v>968416</v>
      </c>
      <c r="C41" s="63">
        <v>0.58050362654066023</v>
      </c>
      <c r="D41" s="63">
        <v>0.50726237484717307</v>
      </c>
      <c r="E41" s="63">
        <v>7.3241251693487094E-2</v>
      </c>
      <c r="F41" s="63">
        <v>0.25070837326107787</v>
      </c>
      <c r="G41" s="63">
        <v>0.32979525327958231</v>
      </c>
      <c r="H41" s="63">
        <v>0.50942983180781809</v>
      </c>
      <c r="I41" s="63">
        <v>7.1073794732842088E-2</v>
      </c>
      <c r="N41" s="62">
        <v>2022</v>
      </c>
      <c r="O41" s="60">
        <v>1228602</v>
      </c>
      <c r="P41" s="63">
        <v>0.66606598393946936</v>
      </c>
      <c r="Q41" s="63">
        <v>0.52992995290582301</v>
      </c>
      <c r="R41" s="63">
        <v>0.13613603103364638</v>
      </c>
      <c r="S41" s="63">
        <v>0.18954307416071275</v>
      </c>
      <c r="T41" s="63">
        <v>0.47652290977875666</v>
      </c>
      <c r="U41" s="63">
        <v>0.50194367256442685</v>
      </c>
      <c r="V41" s="63">
        <v>0.16412231137504252</v>
      </c>
    </row>
    <row r="43" spans="1:22" x14ac:dyDescent="0.3">
      <c r="A43">
        <v>2021</v>
      </c>
    </row>
    <row r="44" spans="1:22" x14ac:dyDescent="0.3">
      <c r="A44">
        <v>2022</v>
      </c>
    </row>
    <row r="46" spans="1:22" x14ac:dyDescent="0.3">
      <c r="A46">
        <v>2021</v>
      </c>
    </row>
    <row r="47" spans="1:22" x14ac:dyDescent="0.3">
      <c r="A47">
        <v>2022</v>
      </c>
    </row>
    <row r="63" spans="1:18" x14ac:dyDescent="0.3">
      <c r="A63" s="65" t="str">
        <f>CONCATENATE("Table 43a. College Enrollment Rates in the First Two Years after High School Graduation for Classes ",A65," and ",A66,", School Percentile Distribution")</f>
        <v>Table 43a. College Enrollment Rates in the First Two Years after High School Graduation for Classes 2020 and 2021, School Percentile Distribution</v>
      </c>
      <c r="B63" s="58"/>
      <c r="N63" s="65" t="str">
        <f>CONCATENATE("Table 43b. College Enrollment Rates in the First Two Years after High School Graduation for Classes ",N65," and ",N66,", School Percentile Distribution")</f>
        <v>Table 43b. College Enrollment Rates in the First Two Years after High School Graduation for Classes 2020 and 2021, School Percentile Distribution</v>
      </c>
      <c r="O63" s="58"/>
    </row>
    <row r="64" spans="1:18" ht="28.8" x14ac:dyDescent="0.3">
      <c r="A64" s="59"/>
      <c r="B64" s="60" t="s">
        <v>434</v>
      </c>
      <c r="C64" s="61" t="s">
        <v>435</v>
      </c>
      <c r="D64" s="61" t="s">
        <v>436</v>
      </c>
      <c r="E64" s="61" t="s">
        <v>437</v>
      </c>
      <c r="N64" s="59"/>
      <c r="O64" s="60" t="s">
        <v>434</v>
      </c>
      <c r="P64" s="61" t="s">
        <v>435</v>
      </c>
      <c r="Q64" s="61" t="s">
        <v>436</v>
      </c>
      <c r="R64" s="61" t="s">
        <v>437</v>
      </c>
    </row>
    <row r="65" spans="1:22" x14ac:dyDescent="0.3">
      <c r="A65" s="62">
        <v>2020</v>
      </c>
      <c r="B65" s="60">
        <v>3581</v>
      </c>
      <c r="C65" s="63">
        <v>0.46956521739130436</v>
      </c>
      <c r="D65" s="63">
        <v>0.58181818181818179</v>
      </c>
      <c r="E65" s="63">
        <v>0.69565217391304346</v>
      </c>
      <c r="N65" s="62">
        <v>2020</v>
      </c>
      <c r="O65" s="60">
        <v>7783</v>
      </c>
      <c r="P65" s="63">
        <v>0.51541850220264318</v>
      </c>
      <c r="Q65" s="63">
        <v>0.63157894736842102</v>
      </c>
      <c r="R65" s="63">
        <v>0.75156250000000002</v>
      </c>
    </row>
    <row r="66" spans="1:22" x14ac:dyDescent="0.3">
      <c r="A66" s="62">
        <v>2021</v>
      </c>
      <c r="B66" s="60">
        <v>3589</v>
      </c>
      <c r="C66" s="63">
        <v>0.47547169811320755</v>
      </c>
      <c r="D66" s="63">
        <v>0.58158995815899583</v>
      </c>
      <c r="E66" s="63">
        <v>0.69339622641509435</v>
      </c>
      <c r="N66" s="62">
        <v>2021</v>
      </c>
      <c r="O66" s="60">
        <v>7727</v>
      </c>
      <c r="P66" s="63">
        <v>0.51162790697674421</v>
      </c>
      <c r="Q66" s="63">
        <v>0.62745098039215685</v>
      </c>
      <c r="R66" s="63">
        <v>0.75</v>
      </c>
    </row>
    <row r="67" spans="1:22" x14ac:dyDescent="0.3">
      <c r="B67" s="58"/>
      <c r="O67" s="58"/>
    </row>
    <row r="68" spans="1:22" x14ac:dyDescent="0.3">
      <c r="A68" s="65" t="str">
        <f>CONCATENATE("Table 44a. College Enrollment Rates in the First Two Years after High School Graduation for Classes ",A70," and ",A71,", Student-Weighted Totals")</f>
        <v>Table 44a. College Enrollment Rates in the First Two Years after High School Graduation for Classes 2020 and 2021, Student-Weighted Totals</v>
      </c>
      <c r="B68" s="58"/>
      <c r="N68" s="65" t="str">
        <f>CONCATENATE("Table 44b. College Enrollment Rates in the First Two Years after High School Graduation for Classes ",N70," and ",N71,", Student-Weighted Totals")</f>
        <v>Table 44b. College Enrollment Rates in the First Two Years after High School Graduation for Classes 2020 and 2021, Student-Weighted Totals</v>
      </c>
      <c r="O68" s="58"/>
    </row>
    <row r="69" spans="1:22" ht="28.8" x14ac:dyDescent="0.3">
      <c r="A69" s="59"/>
      <c r="B69" s="60" t="s">
        <v>438</v>
      </c>
      <c r="C69" s="61" t="s">
        <v>439</v>
      </c>
      <c r="D69" s="61" t="s">
        <v>105</v>
      </c>
      <c r="E69" s="61" t="s">
        <v>106</v>
      </c>
      <c r="F69" s="61" t="s">
        <v>440</v>
      </c>
      <c r="G69" s="61" t="s">
        <v>441</v>
      </c>
      <c r="H69" s="61" t="s">
        <v>442</v>
      </c>
      <c r="I69" s="61" t="s">
        <v>443</v>
      </c>
      <c r="N69" s="59"/>
      <c r="O69" s="60" t="s">
        <v>438</v>
      </c>
      <c r="P69" s="61" t="s">
        <v>439</v>
      </c>
      <c r="Q69" s="61" t="s">
        <v>105</v>
      </c>
      <c r="R69" s="61" t="s">
        <v>106</v>
      </c>
      <c r="S69" s="61" t="s">
        <v>440</v>
      </c>
      <c r="T69" s="61" t="s">
        <v>441</v>
      </c>
      <c r="U69" s="61" t="s">
        <v>442</v>
      </c>
      <c r="V69" s="61" t="s">
        <v>443</v>
      </c>
    </row>
    <row r="70" spans="1:22" x14ac:dyDescent="0.3">
      <c r="A70" s="62">
        <v>2020</v>
      </c>
      <c r="B70" s="60">
        <v>985831</v>
      </c>
      <c r="C70" s="63">
        <v>0.60234259218872199</v>
      </c>
      <c r="D70" s="63">
        <v>0.5227407131648325</v>
      </c>
      <c r="E70" s="63">
        <v>7.9601879023889488E-2</v>
      </c>
      <c r="F70" s="63">
        <v>0.27569735583482363</v>
      </c>
      <c r="G70" s="63">
        <v>0.32657524464132293</v>
      </c>
      <c r="H70" s="63">
        <v>0.52890809885264312</v>
      </c>
      <c r="I70" s="63">
        <v>7.3434493336078904E-2</v>
      </c>
      <c r="N70" s="62">
        <v>2020</v>
      </c>
      <c r="O70" s="60">
        <v>1283941</v>
      </c>
      <c r="P70" s="63">
        <v>0.69939895992105561</v>
      </c>
      <c r="Q70" s="63">
        <v>0.5576798310825809</v>
      </c>
      <c r="R70" s="63">
        <v>0.14171912883847468</v>
      </c>
      <c r="S70" s="63">
        <v>0.22210755790180389</v>
      </c>
      <c r="T70" s="63">
        <v>0.4772836134993742</v>
      </c>
      <c r="U70" s="63">
        <v>0.54352497505726505</v>
      </c>
      <c r="V70" s="63">
        <v>0.15587398486379048</v>
      </c>
    </row>
    <row r="71" spans="1:22" x14ac:dyDescent="0.3">
      <c r="A71" s="62">
        <v>2021</v>
      </c>
      <c r="B71" s="60">
        <v>955985</v>
      </c>
      <c r="C71" s="63">
        <v>0.60442370957703306</v>
      </c>
      <c r="D71" s="63">
        <v>0.52256468459233152</v>
      </c>
      <c r="E71" s="63">
        <v>8.1859024984701642E-2</v>
      </c>
      <c r="F71" s="63">
        <v>0.26489746178025808</v>
      </c>
      <c r="G71" s="63">
        <v>0.3394697615548361</v>
      </c>
      <c r="H71" s="63">
        <v>0.52424881143532587</v>
      </c>
      <c r="I71" s="63">
        <v>8.0174898141707238E-2</v>
      </c>
      <c r="N71" s="62">
        <v>2021</v>
      </c>
      <c r="O71" s="60">
        <v>1259653</v>
      </c>
      <c r="P71" s="63">
        <v>0.69522717764336683</v>
      </c>
      <c r="Q71" s="63">
        <v>0.55227669842408977</v>
      </c>
      <c r="R71" s="63">
        <v>0.14295047921927706</v>
      </c>
      <c r="S71" s="63">
        <v>0.21166146549883183</v>
      </c>
      <c r="T71" s="63">
        <v>0.48356253666684396</v>
      </c>
      <c r="U71" s="63">
        <v>0.52511842547114163</v>
      </c>
      <c r="V71" s="63">
        <v>0.17010875217222521</v>
      </c>
    </row>
    <row r="73" spans="1:22" x14ac:dyDescent="0.3">
      <c r="A73">
        <v>2020</v>
      </c>
    </row>
    <row r="74" spans="1:22" x14ac:dyDescent="0.3">
      <c r="A74">
        <v>2021</v>
      </c>
    </row>
    <row r="76" spans="1:22" x14ac:dyDescent="0.3">
      <c r="A76">
        <v>2020</v>
      </c>
    </row>
    <row r="77" spans="1:22" x14ac:dyDescent="0.3">
      <c r="A77">
        <v>2021</v>
      </c>
    </row>
    <row r="92" spans="1:18" x14ac:dyDescent="0.3">
      <c r="A92" s="65" t="str">
        <f>CONCATENATE("Table 45a. Persistence Rates from First to Second Year of College for Class of ",A94," and ",A95,", School Percentile Distribution")</f>
        <v>Table 45a. Persistence Rates from First to Second Year of College for Class of 2020 and 2021, School Percentile Distribution</v>
      </c>
      <c r="B92" s="58"/>
      <c r="N92" s="65" t="str">
        <f>CONCATENATE("Table 45b. Persistence Rates from First to Second Year of College for Class of ",N94," and ",N95,", School Percentile Distribution")</f>
        <v>Table 45b. Persistence Rates from First to Second Year of College for Class of 2020 and 2021, School Percentile Distribution</v>
      </c>
      <c r="O92" s="58"/>
    </row>
    <row r="93" spans="1:18" ht="28.8" x14ac:dyDescent="0.3">
      <c r="A93" s="59"/>
      <c r="B93" s="60" t="s">
        <v>434</v>
      </c>
      <c r="C93" s="61" t="s">
        <v>435</v>
      </c>
      <c r="D93" s="61" t="s">
        <v>436</v>
      </c>
      <c r="E93" s="61" t="s">
        <v>437</v>
      </c>
      <c r="N93" s="59"/>
      <c r="O93" s="60" t="s">
        <v>434</v>
      </c>
      <c r="P93" s="61" t="s">
        <v>435</v>
      </c>
      <c r="Q93" s="61" t="s">
        <v>436</v>
      </c>
      <c r="R93" s="61" t="s">
        <v>437</v>
      </c>
    </row>
    <row r="94" spans="1:18" x14ac:dyDescent="0.3">
      <c r="A94" s="62">
        <v>2020</v>
      </c>
      <c r="B94" s="66">
        <v>3581</v>
      </c>
      <c r="C94" s="72">
        <v>0.67368421052631577</v>
      </c>
      <c r="D94" s="72">
        <v>0.75</v>
      </c>
      <c r="E94" s="72">
        <v>0.81415929203539827</v>
      </c>
      <c r="N94" s="62">
        <v>2020</v>
      </c>
      <c r="O94" s="66">
        <v>7783</v>
      </c>
      <c r="P94" s="72">
        <v>0.72222222222222221</v>
      </c>
      <c r="Q94" s="72">
        <v>0.80966767371601212</v>
      </c>
      <c r="R94" s="72">
        <v>0.88079470198675491</v>
      </c>
    </row>
    <row r="95" spans="1:18" x14ac:dyDescent="0.3">
      <c r="A95" s="62">
        <v>2021</v>
      </c>
      <c r="B95" s="66">
        <v>3589</v>
      </c>
      <c r="C95" s="72">
        <v>0.70967741935483875</v>
      </c>
      <c r="D95" s="72">
        <v>0.77894736842105261</v>
      </c>
      <c r="E95" s="72">
        <v>0.83783783783783783</v>
      </c>
      <c r="N95" s="62">
        <v>2021</v>
      </c>
      <c r="O95" s="66">
        <v>7727</v>
      </c>
      <c r="P95" s="72">
        <v>0.75</v>
      </c>
      <c r="Q95" s="72">
        <v>0.83333333333333337</v>
      </c>
      <c r="R95" s="72">
        <v>0.8951048951048951</v>
      </c>
    </row>
    <row r="96" spans="1:18" x14ac:dyDescent="0.3">
      <c r="B96" s="58"/>
      <c r="O96" s="58"/>
    </row>
    <row r="97" spans="1:22" x14ac:dyDescent="0.3">
      <c r="B97" s="58"/>
      <c r="O97" s="58"/>
    </row>
    <row r="98" spans="1:22" x14ac:dyDescent="0.3">
      <c r="A98" s="65" t="str">
        <f>CONCATENATE("Table 46a. Persistence Rates from First to Second Year of College for Class of ",A100," and ",A101,", Student-Weighted Totals")</f>
        <v>Table 46a. Persistence Rates from First to Second Year of College for Class of 2020 and 2021, Student-Weighted Totals</v>
      </c>
      <c r="B98" s="58"/>
      <c r="N98" s="65" t="str">
        <f>CONCATENATE("Table 46b. Persistence Rates from First to Second Year of College for Class of ",N100," and ",N101,", Student-Weighted Totals")</f>
        <v>Table 46b. Persistence Rates from First to Second Year of College for Class of 2020 and 2021, Student-Weighted Totals</v>
      </c>
      <c r="O98" s="58"/>
    </row>
    <row r="99" spans="1:22" ht="43.2" x14ac:dyDescent="0.3">
      <c r="A99" s="59"/>
      <c r="B99" s="60" t="s">
        <v>444</v>
      </c>
      <c r="C99" s="61" t="s">
        <v>439</v>
      </c>
      <c r="D99" s="61" t="s">
        <v>105</v>
      </c>
      <c r="E99" s="61" t="s">
        <v>106</v>
      </c>
      <c r="F99" s="61" t="s">
        <v>440</v>
      </c>
      <c r="G99" s="61" t="s">
        <v>441</v>
      </c>
      <c r="H99" s="61" t="s">
        <v>442</v>
      </c>
      <c r="I99" s="61" t="s">
        <v>443</v>
      </c>
      <c r="N99" s="59"/>
      <c r="O99" s="60" t="s">
        <v>444</v>
      </c>
      <c r="P99" s="61" t="s">
        <v>439</v>
      </c>
      <c r="Q99" s="61" t="s">
        <v>105</v>
      </c>
      <c r="R99" s="61" t="s">
        <v>106</v>
      </c>
      <c r="S99" s="61" t="s">
        <v>440</v>
      </c>
      <c r="T99" s="61" t="s">
        <v>441</v>
      </c>
      <c r="U99" s="61" t="s">
        <v>442</v>
      </c>
      <c r="V99" s="61" t="s">
        <v>443</v>
      </c>
    </row>
    <row r="100" spans="1:22" x14ac:dyDescent="0.3">
      <c r="A100" s="62">
        <v>2020</v>
      </c>
      <c r="B100" s="60">
        <v>552352</v>
      </c>
      <c r="C100" s="63">
        <v>0.77430696367533747</v>
      </c>
      <c r="D100" s="63">
        <v>0.76765744586315443</v>
      </c>
      <c r="E100" s="63">
        <v>0.81799492907558413</v>
      </c>
      <c r="F100" s="63">
        <v>0.67436347022942233</v>
      </c>
      <c r="G100" s="63">
        <v>0.85284059320171191</v>
      </c>
      <c r="H100" s="63">
        <v>0.76731310468847191</v>
      </c>
      <c r="I100" s="63">
        <v>0.82654359792091503</v>
      </c>
      <c r="N100" s="62">
        <v>2020</v>
      </c>
      <c r="O100" s="60">
        <v>852141</v>
      </c>
      <c r="P100" s="63">
        <v>0.85178039784495763</v>
      </c>
      <c r="Q100" s="63">
        <v>0.83593427218962846</v>
      </c>
      <c r="R100" s="63">
        <v>0.91334407264513839</v>
      </c>
      <c r="S100" s="63">
        <v>0.71529318113315454</v>
      </c>
      <c r="T100" s="63">
        <v>0.91131893263852259</v>
      </c>
      <c r="U100" s="63">
        <v>0.83401482392816007</v>
      </c>
      <c r="V100" s="63">
        <v>0.91416122696398416</v>
      </c>
    </row>
    <row r="101" spans="1:22" x14ac:dyDescent="0.3">
      <c r="A101" s="62">
        <v>2021</v>
      </c>
      <c r="B101" s="60">
        <v>534492</v>
      </c>
      <c r="C101" s="63">
        <v>0.80309901738473166</v>
      </c>
      <c r="D101" s="63">
        <v>0.79633832554046113</v>
      </c>
      <c r="E101" s="63">
        <v>0.84572178262473863</v>
      </c>
      <c r="F101" s="63">
        <v>0.71112835649498041</v>
      </c>
      <c r="G101" s="63">
        <v>0.8690093282743655</v>
      </c>
      <c r="H101" s="63">
        <v>0.79600523057996642</v>
      </c>
      <c r="I101" s="63">
        <v>0.85053355193142921</v>
      </c>
      <c r="N101" s="62">
        <v>2021</v>
      </c>
      <c r="O101" s="60">
        <v>829634</v>
      </c>
      <c r="P101" s="63">
        <v>0.86917725165554927</v>
      </c>
      <c r="Q101" s="63">
        <v>0.85468691407857711</v>
      </c>
      <c r="R101" s="63">
        <v>0.92392982213620867</v>
      </c>
      <c r="S101" s="63">
        <v>0.73906574176918083</v>
      </c>
      <c r="T101" s="63">
        <v>0.92170477713202892</v>
      </c>
      <c r="U101" s="63">
        <v>0.85120074162277937</v>
      </c>
      <c r="V101" s="63">
        <v>0.92431573838483372</v>
      </c>
    </row>
    <row r="103" spans="1:22" x14ac:dyDescent="0.3">
      <c r="A103">
        <v>2020</v>
      </c>
    </row>
    <row r="104" spans="1:22" x14ac:dyDescent="0.3">
      <c r="A104">
        <v>2021</v>
      </c>
    </row>
    <row r="106" spans="1:22" x14ac:dyDescent="0.3">
      <c r="A106">
        <v>2020</v>
      </c>
    </row>
    <row r="107" spans="1:22" x14ac:dyDescent="0.3">
      <c r="A107">
        <v>2021</v>
      </c>
    </row>
    <row r="122" spans="1:18" x14ac:dyDescent="0.3">
      <c r="A122" s="65" t="str">
        <f>CONCATENATE("Table 47a. Six-Year Completion Rates for Class of ",,A124," and ",A125,", School Percentile Distribution")</f>
        <v>Table 47a. Six-Year Completion Rates for Class of 2016 and 2017, School Percentile Distribution</v>
      </c>
      <c r="B122" s="58"/>
      <c r="N122" s="65" t="str">
        <f>CONCATENATE("Table 47b. Six-Year Completion Rates for Class of ",N124," and ",N125,", School Percentile Distribution")</f>
        <v>Table 47b. Six-Year Completion Rates for Class of 2016 and 2017, School Percentile Distribution</v>
      </c>
      <c r="O122" s="58"/>
    </row>
    <row r="123" spans="1:18" ht="28.8" x14ac:dyDescent="0.3">
      <c r="A123" s="59"/>
      <c r="B123" s="60" t="s">
        <v>434</v>
      </c>
      <c r="C123" s="61" t="s">
        <v>435</v>
      </c>
      <c r="D123" s="61" t="s">
        <v>436</v>
      </c>
      <c r="E123" s="61" t="s">
        <v>437</v>
      </c>
      <c r="N123" s="59"/>
      <c r="O123" s="60" t="s">
        <v>434</v>
      </c>
      <c r="P123" s="61" t="s">
        <v>435</v>
      </c>
      <c r="Q123" s="61" t="s">
        <v>436</v>
      </c>
      <c r="R123" s="61" t="s">
        <v>437</v>
      </c>
    </row>
    <row r="124" spans="1:18" x14ac:dyDescent="0.3">
      <c r="A124" s="62">
        <v>2016</v>
      </c>
      <c r="B124" s="66">
        <v>3213</v>
      </c>
      <c r="C124" s="72">
        <v>0.19463087248322147</v>
      </c>
      <c r="D124" s="72">
        <v>0.28112449799196787</v>
      </c>
      <c r="E124" s="72">
        <v>0.36799999999999999</v>
      </c>
      <c r="N124" s="62">
        <v>2016</v>
      </c>
      <c r="O124" s="66">
        <v>7511</v>
      </c>
      <c r="P124" s="72">
        <v>0.31182795698924731</v>
      </c>
      <c r="Q124" s="72">
        <v>0.41975308641975306</v>
      </c>
      <c r="R124" s="72">
        <v>0.54347826086956519</v>
      </c>
    </row>
    <row r="125" spans="1:18" x14ac:dyDescent="0.3">
      <c r="A125" s="62">
        <v>2017</v>
      </c>
      <c r="B125" s="66">
        <v>3172</v>
      </c>
      <c r="C125" s="72">
        <v>0.19354838709677419</v>
      </c>
      <c r="D125" s="72">
        <v>0.27516926405192099</v>
      </c>
      <c r="E125" s="72">
        <v>0.37346897965305204</v>
      </c>
      <c r="N125" s="62">
        <v>2017</v>
      </c>
      <c r="O125" s="66">
        <v>7609</v>
      </c>
      <c r="P125" s="72">
        <v>0.29957805907172996</v>
      </c>
      <c r="Q125" s="72">
        <v>0.41076487252124644</v>
      </c>
      <c r="R125" s="72">
        <v>0.53757225433526012</v>
      </c>
    </row>
    <row r="126" spans="1:18" x14ac:dyDescent="0.3">
      <c r="A126" s="73"/>
      <c r="B126" s="74"/>
      <c r="C126" s="75"/>
      <c r="D126" s="75"/>
      <c r="E126" s="75"/>
      <c r="N126" s="73"/>
      <c r="O126" s="74"/>
      <c r="P126" s="75"/>
      <c r="Q126" s="75"/>
      <c r="R126" s="75"/>
    </row>
    <row r="127" spans="1:18" x14ac:dyDescent="0.3">
      <c r="B127" s="58"/>
      <c r="O127" s="58"/>
    </row>
    <row r="128" spans="1:18" x14ac:dyDescent="0.3">
      <c r="A128" s="65" t="str">
        <f>CONCATENATE("Table 48a. Six-Year Completion Rates for Class of ",A130," and ",A131, ", Student-Weighted Totals")</f>
        <v>Table 48a. Six-Year Completion Rates for Class of 2016 and 2017, Student-Weighted Totals</v>
      </c>
      <c r="B128" s="58"/>
      <c r="N128" s="65" t="str">
        <f>CONCATENATE("Table 48b. Six-Year Completion Rates for Class of ",,N130," and ",N131, ", Student-Weighted Totals")</f>
        <v>Table 48b. Six-Year Completion Rates for Class of 2016 and 2017, Student-Weighted Totals</v>
      </c>
      <c r="O128" s="58"/>
    </row>
    <row r="129" spans="1:22" ht="28.8" x14ac:dyDescent="0.3">
      <c r="A129" s="59"/>
      <c r="B129" s="60" t="s">
        <v>438</v>
      </c>
      <c r="C129" s="61" t="s">
        <v>439</v>
      </c>
      <c r="D129" s="61" t="s">
        <v>105</v>
      </c>
      <c r="E129" s="61" t="s">
        <v>106</v>
      </c>
      <c r="F129" s="61" t="s">
        <v>440</v>
      </c>
      <c r="G129" s="61" t="s">
        <v>441</v>
      </c>
      <c r="H129" s="61" t="s">
        <v>442</v>
      </c>
      <c r="I129" s="61" t="s">
        <v>443</v>
      </c>
      <c r="N129" s="59"/>
      <c r="O129" s="60" t="s">
        <v>438</v>
      </c>
      <c r="P129" s="61" t="s">
        <v>439</v>
      </c>
      <c r="Q129" s="61" t="s">
        <v>105</v>
      </c>
      <c r="R129" s="61" t="s">
        <v>106</v>
      </c>
      <c r="S129" s="61" t="s">
        <v>440</v>
      </c>
      <c r="T129" s="61" t="s">
        <v>441</v>
      </c>
      <c r="U129" s="61" t="s">
        <v>442</v>
      </c>
      <c r="V129" s="61" t="s">
        <v>443</v>
      </c>
    </row>
    <row r="130" spans="1:22" x14ac:dyDescent="0.3">
      <c r="A130" s="62">
        <v>2016</v>
      </c>
      <c r="B130" s="60">
        <v>790444</v>
      </c>
      <c r="C130" s="63">
        <v>0.31569219324835157</v>
      </c>
      <c r="D130" s="63">
        <v>0.26267515472316827</v>
      </c>
      <c r="E130" s="63">
        <v>5.3017038525183316E-2</v>
      </c>
      <c r="F130" s="63">
        <v>9.2311409789940846E-2</v>
      </c>
      <c r="G130" s="63">
        <v>0.22315432845337557</v>
      </c>
      <c r="H130" s="63">
        <v>0.27053023364083983</v>
      </c>
      <c r="I130" s="63">
        <v>4.516195960751173E-2</v>
      </c>
      <c r="N130" s="62">
        <v>2016</v>
      </c>
      <c r="O130" s="60">
        <v>1241112</v>
      </c>
      <c r="P130" s="63">
        <v>0.49102256685939705</v>
      </c>
      <c r="Q130" s="63">
        <v>0.3693494221311211</v>
      </c>
      <c r="R130" s="63">
        <v>0.12167314472827594</v>
      </c>
      <c r="S130" s="63">
        <v>9.3937533437755821E-2</v>
      </c>
      <c r="T130" s="63">
        <v>0.39704313551073556</v>
      </c>
      <c r="U130" s="63">
        <v>0.36694029225404312</v>
      </c>
      <c r="V130" s="63">
        <v>0.12408227460535391</v>
      </c>
    </row>
    <row r="131" spans="1:22" x14ac:dyDescent="0.3">
      <c r="A131" s="62">
        <v>2017</v>
      </c>
      <c r="B131" s="60">
        <v>805971</v>
      </c>
      <c r="C131" s="63">
        <v>0.31544683369500887</v>
      </c>
      <c r="D131" s="63">
        <v>0.26156648316130482</v>
      </c>
      <c r="E131" s="63">
        <v>5.3880350533704068E-2</v>
      </c>
      <c r="F131" s="63">
        <v>9.2217958214377435E-2</v>
      </c>
      <c r="G131" s="63">
        <v>0.22300802386190074</v>
      </c>
      <c r="H131" s="63">
        <v>0.27038441829792881</v>
      </c>
      <c r="I131" s="63">
        <v>4.5062415397080044E-2</v>
      </c>
      <c r="N131" s="62">
        <v>2017</v>
      </c>
      <c r="O131" s="60">
        <v>1256785</v>
      </c>
      <c r="P131" s="63">
        <v>0.4845848733076859</v>
      </c>
      <c r="Q131" s="63">
        <v>0.36504493608692018</v>
      </c>
      <c r="R131" s="63">
        <v>0.11953993722076568</v>
      </c>
      <c r="S131" s="63">
        <v>9.1858989405506908E-2</v>
      </c>
      <c r="T131" s="63">
        <v>0.39270280915192335</v>
      </c>
      <c r="U131" s="63">
        <v>0.36150654248737851</v>
      </c>
      <c r="V131" s="63">
        <v>0.12307833082030738</v>
      </c>
    </row>
    <row r="133" spans="1:22" x14ac:dyDescent="0.3">
      <c r="A133">
        <v>2016</v>
      </c>
    </row>
    <row r="134" spans="1:22" x14ac:dyDescent="0.3">
      <c r="A134">
        <v>2017</v>
      </c>
    </row>
    <row r="136" spans="1:22" x14ac:dyDescent="0.3">
      <c r="A136">
        <v>2016</v>
      </c>
    </row>
    <row r="137" spans="1:22" x14ac:dyDescent="0.3">
      <c r="A137">
        <v>2017</v>
      </c>
    </row>
  </sheetData>
  <mergeCells count="2">
    <mergeCell ref="A2:L2"/>
    <mergeCell ref="N2:Y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63F71-3630-4F6C-B9D2-7093889626AC}">
  <dimension ref="A1:AL137"/>
  <sheetViews>
    <sheetView topLeftCell="A83" zoomScaleNormal="100" workbookViewId="0">
      <selection activeCell="B99" sqref="B99"/>
    </sheetView>
  </sheetViews>
  <sheetFormatPr defaultRowHeight="14.4" x14ac:dyDescent="0.3"/>
  <cols>
    <col min="2" max="2" width="14.5546875" customWidth="1"/>
    <col min="3" max="3" width="11.5546875" customWidth="1"/>
    <col min="4" max="4" width="10.5546875" customWidth="1"/>
    <col min="5" max="5" width="11.6640625" customWidth="1"/>
    <col min="13" max="13" width="13.6640625" customWidth="1"/>
    <col min="15" max="15" width="13.33203125" customWidth="1"/>
    <col min="16" max="16" width="11.5546875" customWidth="1"/>
    <col min="17" max="17" width="10.33203125" customWidth="1"/>
    <col min="18" max="18" width="10.109375" customWidth="1"/>
    <col min="26" max="26" width="13.6640625" customWidth="1"/>
    <col min="28" max="28" width="13.33203125" customWidth="1"/>
    <col min="29" max="29" width="11.5546875" customWidth="1"/>
    <col min="30" max="30" width="10.33203125" customWidth="1"/>
    <col min="31" max="31" width="10.109375" customWidth="1"/>
  </cols>
  <sheetData>
    <row r="1" spans="1:38" ht="28.8" x14ac:dyDescent="0.3">
      <c r="A1" s="53" t="s">
        <v>451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</row>
    <row r="2" spans="1:38" ht="18" x14ac:dyDescent="0.3">
      <c r="A2" s="106" t="s">
        <v>452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55"/>
      <c r="N2" s="106" t="s">
        <v>453</v>
      </c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AA2" s="106" t="s">
        <v>454</v>
      </c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</row>
    <row r="3" spans="1:38" x14ac:dyDescent="0.3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7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</row>
    <row r="4" spans="1:38" x14ac:dyDescent="0.3">
      <c r="A4" s="2" t="str">
        <f>CONCATENATE("Table 49a. College Enrollment Rates in the First Fall after High School Graduation for Classes ",A6," and ",A7,", School Percentile Distribution")</f>
        <v>Table 49a. College Enrollment Rates in the First Fall after High School Graduation for Classes 2022 and 2023, School Percentile Distribution</v>
      </c>
      <c r="B4" s="58"/>
      <c r="N4" s="2" t="str">
        <f>CONCATENATE("Table 49b. College Enrollment Rates in the First Fall after High School Graduation for Classes ",N6," and ",N7,", School Percentile Distribution")</f>
        <v>Table 49b. College Enrollment Rates in the First Fall after High School Graduation for Classes 2022 and 2023, School Percentile Distribution</v>
      </c>
      <c r="O4" s="58"/>
      <c r="AA4" s="2" t="str">
        <f>CONCATENATE("Table 49c. College Enrollment Rates in the First Fall after High School Graduation for Classes ",AA6," and ",AA7,", School Percentile Distribution")</f>
        <v>Table 49c. College Enrollment Rates in the First Fall after High School Graduation for Classes 2022 and 2023, School Percentile Distribution</v>
      </c>
      <c r="AB4" s="58"/>
    </row>
    <row r="5" spans="1:38" ht="28.8" x14ac:dyDescent="0.3">
      <c r="A5" s="59"/>
      <c r="B5" s="60" t="s">
        <v>434</v>
      </c>
      <c r="C5" s="61" t="s">
        <v>435</v>
      </c>
      <c r="D5" s="61" t="s">
        <v>436</v>
      </c>
      <c r="E5" s="61" t="s">
        <v>437</v>
      </c>
      <c r="N5" s="59"/>
      <c r="O5" s="60" t="s">
        <v>434</v>
      </c>
      <c r="P5" s="61" t="s">
        <v>435</v>
      </c>
      <c r="Q5" s="61" t="s">
        <v>436</v>
      </c>
      <c r="R5" s="61" t="s">
        <v>437</v>
      </c>
      <c r="AA5" s="59"/>
      <c r="AB5" s="60" t="s">
        <v>434</v>
      </c>
      <c r="AC5" s="61" t="s">
        <v>435</v>
      </c>
      <c r="AD5" s="61" t="s">
        <v>436</v>
      </c>
      <c r="AE5" s="61" t="s">
        <v>437</v>
      </c>
    </row>
    <row r="6" spans="1:38" x14ac:dyDescent="0.3">
      <c r="A6" s="79">
        <v>2022</v>
      </c>
      <c r="B6" s="69">
        <v>2230</v>
      </c>
      <c r="C6" s="51">
        <v>0.41634241245136189</v>
      </c>
      <c r="D6" s="51">
        <v>0.5536354056902002</v>
      </c>
      <c r="E6" s="51">
        <v>0.69905213270142175</v>
      </c>
      <c r="G6" s="64"/>
      <c r="I6" s="64"/>
      <c r="N6" s="79">
        <v>2022</v>
      </c>
      <c r="O6" s="69">
        <v>2933</v>
      </c>
      <c r="P6" s="51">
        <v>0.48903508771929827</v>
      </c>
      <c r="Q6" s="51">
        <v>0.62264150943396224</v>
      </c>
      <c r="R6" s="51">
        <v>0.7448275862068966</v>
      </c>
      <c r="T6" s="64"/>
      <c r="V6" s="64"/>
      <c r="AA6" s="79">
        <v>2022</v>
      </c>
      <c r="AB6" s="69">
        <v>6228</v>
      </c>
      <c r="AC6" s="51">
        <v>0.4</v>
      </c>
      <c r="AD6" s="51">
        <v>0.5078125</v>
      </c>
      <c r="AE6" s="51">
        <v>0.61224489795918369</v>
      </c>
      <c r="AG6" s="64"/>
      <c r="AI6" s="64"/>
    </row>
    <row r="7" spans="1:38" x14ac:dyDescent="0.3">
      <c r="A7" s="79">
        <v>2023</v>
      </c>
      <c r="B7" s="69">
        <v>2083</v>
      </c>
      <c r="C7" s="51">
        <v>0.42244897959183675</v>
      </c>
      <c r="D7" s="51">
        <v>0.56470588235294117</v>
      </c>
      <c r="E7" s="51">
        <v>0.71378091872791516</v>
      </c>
      <c r="N7" s="79">
        <v>2023</v>
      </c>
      <c r="O7" s="69">
        <v>2709</v>
      </c>
      <c r="P7" s="51">
        <v>0.49629629629629629</v>
      </c>
      <c r="Q7" s="51">
        <v>0.62369337979094075</v>
      </c>
      <c r="R7" s="51">
        <v>0.75098814229249011</v>
      </c>
      <c r="AA7" s="79">
        <v>2023</v>
      </c>
      <c r="AB7" s="69">
        <v>5773</v>
      </c>
      <c r="AC7" s="51">
        <v>0.41379310344827586</v>
      </c>
      <c r="AD7" s="51">
        <v>0.52</v>
      </c>
      <c r="AE7" s="51">
        <v>0.62410329985652802</v>
      </c>
    </row>
    <row r="8" spans="1:38" x14ac:dyDescent="0.3">
      <c r="B8" s="58"/>
      <c r="O8" s="58"/>
      <c r="AB8" s="58"/>
    </row>
    <row r="9" spans="1:38" x14ac:dyDescent="0.3">
      <c r="A9" s="2" t="str">
        <f>CONCATENATE("Table 50a. College Enrollment Rates in the First Fall after High School Graduation for Classes ",A11," and ",A12,", Student-Weighted Totals")</f>
        <v>Table 50a. College Enrollment Rates in the First Fall after High School Graduation for Classes 2022 and 2023, Student-Weighted Totals</v>
      </c>
      <c r="B9" s="58"/>
      <c r="N9" s="2" t="str">
        <f>CONCATENATE("Table 50b. College Enrollment Rates in the First Fall after High School Graduation for Classes ",N11," and ",N12,", Student-Weighted Totals")</f>
        <v>Table 50b. College Enrollment Rates in the First Fall after High School Graduation for Classes 2022 and 2023, Student-Weighted Totals</v>
      </c>
      <c r="O9" s="58"/>
      <c r="AA9" s="2" t="str">
        <f>CONCATENATE("Table 50c. College Enrollment Rates in the First Fall after High School Graduation for Classes ",AA11," and ",AA12,", Student-Weighted Totals")</f>
        <v>Table 50c. College Enrollment Rates in the First Fall after High School Graduation for Classes 2022 and 2023, Student-Weighted Totals</v>
      </c>
      <c r="AB9" s="58"/>
    </row>
    <row r="10" spans="1:38" ht="28.8" x14ac:dyDescent="0.3">
      <c r="A10" s="59"/>
      <c r="B10" s="60" t="s">
        <v>438</v>
      </c>
      <c r="C10" s="61" t="s">
        <v>439</v>
      </c>
      <c r="D10" s="61" t="s">
        <v>105</v>
      </c>
      <c r="E10" s="61" t="s">
        <v>106</v>
      </c>
      <c r="F10" s="61" t="s">
        <v>440</v>
      </c>
      <c r="G10" s="61" t="s">
        <v>441</v>
      </c>
      <c r="H10" s="61" t="s">
        <v>442</v>
      </c>
      <c r="I10" s="61" t="s">
        <v>443</v>
      </c>
      <c r="N10" s="59"/>
      <c r="O10" s="60" t="s">
        <v>438</v>
      </c>
      <c r="P10" s="61" t="s">
        <v>439</v>
      </c>
      <c r="Q10" s="61" t="s">
        <v>105</v>
      </c>
      <c r="R10" s="61" t="s">
        <v>106</v>
      </c>
      <c r="S10" s="61" t="s">
        <v>440</v>
      </c>
      <c r="T10" s="61" t="s">
        <v>441</v>
      </c>
      <c r="U10" s="61" t="s">
        <v>442</v>
      </c>
      <c r="V10" s="61" t="s">
        <v>443</v>
      </c>
      <c r="AA10" s="59"/>
      <c r="AB10" s="60" t="s">
        <v>438</v>
      </c>
      <c r="AC10" s="61" t="s">
        <v>439</v>
      </c>
      <c r="AD10" s="61" t="s">
        <v>105</v>
      </c>
      <c r="AE10" s="61" t="s">
        <v>106</v>
      </c>
      <c r="AF10" s="61" t="s">
        <v>440</v>
      </c>
      <c r="AG10" s="61" t="s">
        <v>441</v>
      </c>
      <c r="AH10" s="61" t="s">
        <v>442</v>
      </c>
      <c r="AI10" s="61" t="s">
        <v>443</v>
      </c>
    </row>
    <row r="11" spans="1:38" x14ac:dyDescent="0.3">
      <c r="A11" s="79">
        <v>2022</v>
      </c>
      <c r="B11" s="69">
        <v>629664</v>
      </c>
      <c r="C11" s="51">
        <v>0.58725923667225699</v>
      </c>
      <c r="D11" s="51">
        <v>0.499531496163033</v>
      </c>
      <c r="E11" s="51">
        <v>8.7727740509223967E-2</v>
      </c>
      <c r="F11" s="51">
        <v>0.20572876962951669</v>
      </c>
      <c r="G11" s="51">
        <v>0.38153046704274024</v>
      </c>
      <c r="H11" s="51">
        <v>0.4832783833917772</v>
      </c>
      <c r="I11" s="51">
        <v>0.10398085328047975</v>
      </c>
      <c r="N11" s="79">
        <v>2022</v>
      </c>
      <c r="O11" s="69">
        <v>937155</v>
      </c>
      <c r="P11" s="51">
        <v>0.63603566112329335</v>
      </c>
      <c r="Q11" s="51">
        <v>0.50997647134145363</v>
      </c>
      <c r="R11" s="51">
        <v>0.12605918978183972</v>
      </c>
      <c r="S11" s="51">
        <v>0.19132374046982623</v>
      </c>
      <c r="T11" s="51">
        <v>0.44471192065346715</v>
      </c>
      <c r="U11" s="51">
        <v>0.49261008050962757</v>
      </c>
      <c r="V11" s="51">
        <v>0.14342558061366584</v>
      </c>
      <c r="AA11" s="79">
        <v>2022</v>
      </c>
      <c r="AB11" s="69">
        <v>630199</v>
      </c>
      <c r="AC11" s="51">
        <v>0.53868539937384863</v>
      </c>
      <c r="AD11" s="51">
        <v>0.45320605078713233</v>
      </c>
      <c r="AE11" s="51">
        <v>8.5479348586716256E-2</v>
      </c>
      <c r="AF11" s="51">
        <v>0.19714883711335626</v>
      </c>
      <c r="AG11" s="51">
        <v>0.34153656226049234</v>
      </c>
      <c r="AH11" s="51">
        <v>0.44594802594101229</v>
      </c>
      <c r="AI11" s="51">
        <v>9.2737373432836293E-2</v>
      </c>
    </row>
    <row r="12" spans="1:38" x14ac:dyDescent="0.3">
      <c r="A12" s="79">
        <v>2023</v>
      </c>
      <c r="B12" s="69">
        <v>565006</v>
      </c>
      <c r="C12" s="51">
        <v>0.59298839304361373</v>
      </c>
      <c r="D12" s="51">
        <v>0.50206192500610614</v>
      </c>
      <c r="E12" s="51">
        <v>9.0926468037507563E-2</v>
      </c>
      <c r="F12" s="51">
        <v>0.19823329309777241</v>
      </c>
      <c r="G12" s="51">
        <v>0.39475509994584129</v>
      </c>
      <c r="H12" s="51">
        <v>0.49140717089730018</v>
      </c>
      <c r="I12" s="51">
        <v>0.10158122214631349</v>
      </c>
      <c r="N12" s="79">
        <v>2023</v>
      </c>
      <c r="O12" s="69">
        <v>842250</v>
      </c>
      <c r="P12" s="51">
        <v>0.6391748293262095</v>
      </c>
      <c r="Q12" s="51">
        <v>0.50909231225883056</v>
      </c>
      <c r="R12" s="51">
        <v>0.13008251706737906</v>
      </c>
      <c r="S12" s="51">
        <v>0.1820468981893737</v>
      </c>
      <c r="T12" s="51">
        <v>0.45712793113683586</v>
      </c>
      <c r="U12" s="51">
        <v>0.4945871178391214</v>
      </c>
      <c r="V12" s="51">
        <v>0.14458771148708816</v>
      </c>
      <c r="AA12" s="79">
        <v>2023</v>
      </c>
      <c r="AB12" s="69">
        <v>585986</v>
      </c>
      <c r="AC12" s="51">
        <v>0.547932885768602</v>
      </c>
      <c r="AD12" s="51">
        <v>0.45903144443723909</v>
      </c>
      <c r="AE12" s="51">
        <v>8.8901441331362865E-2</v>
      </c>
      <c r="AF12" s="51">
        <v>0.18995334359523947</v>
      </c>
      <c r="AG12" s="51">
        <v>0.35797954217336253</v>
      </c>
      <c r="AH12" s="51">
        <v>0.4552395449720642</v>
      </c>
      <c r="AI12" s="51">
        <v>9.2693340796537807E-2</v>
      </c>
    </row>
    <row r="14" spans="1:38" x14ac:dyDescent="0.3">
      <c r="A14">
        <v>2022</v>
      </c>
    </row>
    <row r="15" spans="1:38" x14ac:dyDescent="0.3">
      <c r="A15">
        <v>2023</v>
      </c>
    </row>
    <row r="17" spans="1:1" x14ac:dyDescent="0.3">
      <c r="A17">
        <v>2022</v>
      </c>
    </row>
    <row r="18" spans="1:1" x14ac:dyDescent="0.3">
      <c r="A18">
        <v>2023</v>
      </c>
    </row>
    <row r="33" spans="1:35" x14ac:dyDescent="0.3">
      <c r="A33" s="65" t="str">
        <f>CONCATENATE("Table 51a. College Enrollment Rates in the First Year after High School Graduation for Classes ",A35," and ",A36,", School Percentile Distribution")</f>
        <v>Table 51a. College Enrollment Rates in the First Year after High School Graduation for Classes 2021 and 2022, School Percentile Distribution</v>
      </c>
      <c r="B33" s="58"/>
      <c r="N33" s="65" t="str">
        <f>CONCATENATE("Table 51b. College Enrollment Rates in the First Year after High School Graduation for Classes ",N35," and ",N36,", School Percentile Distribution")</f>
        <v>Table 51b. College Enrollment Rates in the First Year after High School Graduation for Classes 2021 and 2022, School Percentile Distribution</v>
      </c>
      <c r="O33" s="58"/>
      <c r="AA33" s="65" t="str">
        <f>CONCATENATE("Table 51c. College Enrollment Rates in the First Year after High School Graduation for Classes ",AA35," and ",AA36,", School Percentile Distribution")</f>
        <v>Table 51c. College Enrollment Rates in the First Year after High School Graduation for Classes 2021 and 2022, School Percentile Distribution</v>
      </c>
      <c r="AB33" s="58"/>
    </row>
    <row r="34" spans="1:35" ht="28.8" x14ac:dyDescent="0.3">
      <c r="A34" s="59"/>
      <c r="B34" s="60" t="s">
        <v>434</v>
      </c>
      <c r="C34" s="60" t="s">
        <v>435</v>
      </c>
      <c r="D34" s="60" t="s">
        <v>436</v>
      </c>
      <c r="E34" s="60" t="s">
        <v>437</v>
      </c>
      <c r="N34" s="59"/>
      <c r="O34" s="60" t="s">
        <v>434</v>
      </c>
      <c r="P34" s="60" t="s">
        <v>435</v>
      </c>
      <c r="Q34" s="60" t="s">
        <v>436</v>
      </c>
      <c r="R34" s="60" t="s">
        <v>437</v>
      </c>
      <c r="AA34" s="59"/>
      <c r="AB34" s="60" t="s">
        <v>434</v>
      </c>
      <c r="AC34" s="60" t="s">
        <v>435</v>
      </c>
      <c r="AD34" s="60" t="s">
        <v>436</v>
      </c>
      <c r="AE34" s="60" t="s">
        <v>437</v>
      </c>
    </row>
    <row r="35" spans="1:35" x14ac:dyDescent="0.3">
      <c r="A35" s="79">
        <v>2021</v>
      </c>
      <c r="B35" s="69">
        <v>2210</v>
      </c>
      <c r="C35" s="51">
        <v>0.4358974358974359</v>
      </c>
      <c r="D35" s="51">
        <v>0.5775488622174656</v>
      </c>
      <c r="E35" s="51">
        <v>0.71666666666666667</v>
      </c>
      <c r="N35" s="79">
        <v>2021</v>
      </c>
      <c r="O35" s="69">
        <v>2909</v>
      </c>
      <c r="P35" s="51">
        <v>0.52173913043478259</v>
      </c>
      <c r="Q35" s="51">
        <v>0.6470588235294118</v>
      </c>
      <c r="R35" s="51">
        <v>0.77094240837696337</v>
      </c>
      <c r="AA35" s="79">
        <v>2021</v>
      </c>
      <c r="AB35" s="69">
        <v>6197</v>
      </c>
      <c r="AC35" s="51">
        <v>0.4391891891891892</v>
      </c>
      <c r="AD35" s="51">
        <v>0.54255319148936165</v>
      </c>
      <c r="AE35" s="51">
        <v>0.64383561643835618</v>
      </c>
    </row>
    <row r="36" spans="1:35" x14ac:dyDescent="0.3">
      <c r="A36" s="79">
        <v>2022</v>
      </c>
      <c r="B36" s="69">
        <v>2230</v>
      </c>
      <c r="C36" s="51">
        <v>0.45454545454545453</v>
      </c>
      <c r="D36" s="51">
        <v>0.58901268956979269</v>
      </c>
      <c r="E36" s="51">
        <v>0.73539518900343648</v>
      </c>
      <c r="N36" s="79">
        <v>2022</v>
      </c>
      <c r="O36" s="69">
        <v>2933</v>
      </c>
      <c r="P36" s="51">
        <v>0.52666666666666662</v>
      </c>
      <c r="Q36" s="51">
        <v>0.65714285714285714</v>
      </c>
      <c r="R36" s="51">
        <v>0.77337110481586402</v>
      </c>
      <c r="AA36" s="79">
        <v>2022</v>
      </c>
      <c r="AB36" s="69">
        <v>6228</v>
      </c>
      <c r="AC36" s="51">
        <v>0.43243243243243246</v>
      </c>
      <c r="AD36" s="51">
        <v>0.5391941713483146</v>
      </c>
      <c r="AE36" s="51">
        <v>0.6428571428571429</v>
      </c>
    </row>
    <row r="37" spans="1:35" x14ac:dyDescent="0.3">
      <c r="B37" s="58"/>
      <c r="O37" s="58"/>
      <c r="AB37" s="58"/>
    </row>
    <row r="38" spans="1:35" x14ac:dyDescent="0.3">
      <c r="A38" s="65" t="str">
        <f>CONCATENATE("Table 52a. College Enrollment Rates in the First Year after High School Graduation for Classes ",A40," and ",A41,", Student-Weighted Totals")</f>
        <v>Table 52a. College Enrollment Rates in the First Year after High School Graduation for Classes 2021 and 2022, Student-Weighted Totals</v>
      </c>
      <c r="B38" s="58"/>
      <c r="N38" s="65" t="str">
        <f>CONCATENATE("Table 52b. College Enrollment Rates in the First Year after High School Graduation for Classes ",N40," and ",N41,", Student-Weighted Totals")</f>
        <v>Table 52b. College Enrollment Rates in the First Year after High School Graduation for Classes 2021 and 2022, Student-Weighted Totals</v>
      </c>
      <c r="O38" s="58"/>
      <c r="AA38" s="65" t="str">
        <f>CONCATENATE("Table 52c. College Enrollment Rates in the First Year after High School Graduation for Classes ",AA40," and ",AA41,", Student-Weighted Totals")</f>
        <v>Table 52c. College Enrollment Rates in the First Year after High School Graduation for Classes 2021 and 2022, Student-Weighted Totals</v>
      </c>
      <c r="AB38" s="58"/>
    </row>
    <row r="39" spans="1:35" ht="28.8" x14ac:dyDescent="0.3">
      <c r="A39" s="59"/>
      <c r="B39" s="60" t="s">
        <v>438</v>
      </c>
      <c r="C39" s="61" t="s">
        <v>439</v>
      </c>
      <c r="D39" s="61" t="s">
        <v>105</v>
      </c>
      <c r="E39" s="61" t="s">
        <v>106</v>
      </c>
      <c r="F39" s="61" t="s">
        <v>440</v>
      </c>
      <c r="G39" s="61" t="s">
        <v>441</v>
      </c>
      <c r="H39" s="61" t="s">
        <v>442</v>
      </c>
      <c r="I39" s="61" t="s">
        <v>443</v>
      </c>
      <c r="N39" s="59"/>
      <c r="O39" s="60" t="s">
        <v>438</v>
      </c>
      <c r="P39" s="61" t="s">
        <v>439</v>
      </c>
      <c r="Q39" s="61" t="s">
        <v>105</v>
      </c>
      <c r="R39" s="61" t="s">
        <v>106</v>
      </c>
      <c r="S39" s="61" t="s">
        <v>440</v>
      </c>
      <c r="T39" s="61" t="s">
        <v>441</v>
      </c>
      <c r="U39" s="61" t="s">
        <v>442</v>
      </c>
      <c r="V39" s="61" t="s">
        <v>443</v>
      </c>
      <c r="AA39" s="59"/>
      <c r="AB39" s="60" t="s">
        <v>438</v>
      </c>
      <c r="AC39" s="61" t="s">
        <v>439</v>
      </c>
      <c r="AD39" s="61" t="s">
        <v>105</v>
      </c>
      <c r="AE39" s="61" t="s">
        <v>106</v>
      </c>
      <c r="AF39" s="61" t="s">
        <v>440</v>
      </c>
      <c r="AG39" s="61" t="s">
        <v>441</v>
      </c>
      <c r="AH39" s="61" t="s">
        <v>442</v>
      </c>
      <c r="AI39" s="61" t="s">
        <v>443</v>
      </c>
    </row>
    <row r="40" spans="1:35" x14ac:dyDescent="0.3">
      <c r="A40" s="79">
        <v>2021</v>
      </c>
      <c r="B40" s="69">
        <v>636345</v>
      </c>
      <c r="C40" s="51">
        <v>0.60226920931255845</v>
      </c>
      <c r="D40" s="51">
        <v>0.50698913325318817</v>
      </c>
      <c r="E40" s="51">
        <v>9.5280076059370306E-2</v>
      </c>
      <c r="F40" s="51">
        <v>0.21231564638678704</v>
      </c>
      <c r="G40" s="51">
        <v>0.38993313375605998</v>
      </c>
      <c r="H40" s="51">
        <v>0.49176468739441653</v>
      </c>
      <c r="I40" s="51">
        <v>0.11050452191814189</v>
      </c>
      <c r="N40" s="79">
        <v>2021</v>
      </c>
      <c r="O40" s="69">
        <v>945983</v>
      </c>
      <c r="P40" s="51">
        <v>0.65775494908470866</v>
      </c>
      <c r="Q40" s="51">
        <v>0.52361934622503792</v>
      </c>
      <c r="R40" s="51">
        <v>0.13413560285967083</v>
      </c>
      <c r="S40" s="51">
        <v>0.20288948110061175</v>
      </c>
      <c r="T40" s="51">
        <v>0.45484115465077068</v>
      </c>
      <c r="U40" s="51">
        <v>0.50951972709868998</v>
      </c>
      <c r="V40" s="51">
        <v>0.14823522198601877</v>
      </c>
      <c r="AA40" s="79">
        <v>2021</v>
      </c>
      <c r="AB40" s="69">
        <v>633310</v>
      </c>
      <c r="AC40" s="51">
        <v>0.56631033774928552</v>
      </c>
      <c r="AD40" s="51">
        <v>0.4727258372676888</v>
      </c>
      <c r="AE40" s="51">
        <v>9.3584500481596694E-2</v>
      </c>
      <c r="AF40" s="51">
        <v>0.21233677030206377</v>
      </c>
      <c r="AG40" s="51">
        <v>0.35396093540288326</v>
      </c>
      <c r="AH40" s="51">
        <v>0.46688667477222845</v>
      </c>
      <c r="AI40" s="51">
        <v>9.9423662977057056E-2</v>
      </c>
    </row>
    <row r="41" spans="1:35" x14ac:dyDescent="0.3">
      <c r="A41" s="79">
        <v>2022</v>
      </c>
      <c r="B41" s="69">
        <v>629664</v>
      </c>
      <c r="C41" s="51">
        <v>0.62372789297148956</v>
      </c>
      <c r="D41" s="51">
        <v>0.53111024292320985</v>
      </c>
      <c r="E41" s="51">
        <v>9.2617650048279723E-2</v>
      </c>
      <c r="F41" s="51">
        <v>0.22759439955277735</v>
      </c>
      <c r="G41" s="51">
        <v>0.39613349341871218</v>
      </c>
      <c r="H41" s="51">
        <v>0.51459508563297252</v>
      </c>
      <c r="I41" s="51">
        <v>0.10913280733851705</v>
      </c>
      <c r="N41" s="79">
        <v>2022</v>
      </c>
      <c r="O41" s="69">
        <v>937155</v>
      </c>
      <c r="P41" s="51">
        <v>0.67057530504559015</v>
      </c>
      <c r="Q41" s="51">
        <v>0.53923843974582641</v>
      </c>
      <c r="R41" s="51">
        <v>0.13133686529976366</v>
      </c>
      <c r="S41" s="51">
        <v>0.21025977559741985</v>
      </c>
      <c r="T41" s="51">
        <v>0.46031552944817028</v>
      </c>
      <c r="U41" s="51">
        <v>0.52146443224439931</v>
      </c>
      <c r="V41" s="51">
        <v>0.14911087280119084</v>
      </c>
      <c r="AA41" s="79">
        <v>2022</v>
      </c>
      <c r="AB41" s="69">
        <v>630199</v>
      </c>
      <c r="AC41" s="51">
        <v>0.57018021291687226</v>
      </c>
      <c r="AD41" s="51">
        <v>0.48007534128108742</v>
      </c>
      <c r="AE41" s="51">
        <v>9.0104871635784886E-2</v>
      </c>
      <c r="AF41" s="51">
        <v>0.21470836989585829</v>
      </c>
      <c r="AG41" s="51">
        <v>0.35547184302101398</v>
      </c>
      <c r="AH41" s="51">
        <v>0.47177796219924184</v>
      </c>
      <c r="AI41" s="51">
        <v>9.8402250717630466E-2</v>
      </c>
    </row>
    <row r="43" spans="1:35" x14ac:dyDescent="0.3">
      <c r="A43">
        <v>2021</v>
      </c>
    </row>
    <row r="44" spans="1:35" x14ac:dyDescent="0.3">
      <c r="A44">
        <v>2022</v>
      </c>
    </row>
    <row r="46" spans="1:35" x14ac:dyDescent="0.3">
      <c r="A46">
        <v>2021</v>
      </c>
    </row>
    <row r="47" spans="1:35" x14ac:dyDescent="0.3">
      <c r="A47">
        <v>2022</v>
      </c>
    </row>
    <row r="63" spans="1:31" x14ac:dyDescent="0.3">
      <c r="A63" s="65" t="str">
        <f>CONCATENATE("Table 53a. College Enrollment Rates in the First Two Years after High School Graduation for Classes ",A65," and ",A66,", School Percentile Distribution")</f>
        <v>Table 53a. College Enrollment Rates in the First Two Years after High School Graduation for Classes 2020 and 2021, School Percentile Distribution</v>
      </c>
      <c r="B63" s="58"/>
      <c r="N63" s="65" t="str">
        <f>CONCATENATE("Table 53b. College Enrollment Rates in the First Two Years after High School Graduation for Classes ",N65," and ",N66,", School Percentile Distribution")</f>
        <v>Table 53b. College Enrollment Rates in the First Two Years after High School Graduation for Classes 2020 and 2021, School Percentile Distribution</v>
      </c>
      <c r="O63" s="58"/>
      <c r="AA63" s="65" t="str">
        <f>CONCATENATE("Table 53c. College Enrollment Rates in the First Two Years after High School Graduation for Classes ",AA65," and ",AA66,", School Percentile Distribution")</f>
        <v>Table 53c. College Enrollment Rates in the First Two Years after High School Graduation for Classes 2020 and 2021, School Percentile Distribution</v>
      </c>
      <c r="AB63" s="58"/>
    </row>
    <row r="64" spans="1:31" ht="28.8" x14ac:dyDescent="0.3">
      <c r="A64" s="59"/>
      <c r="B64" s="60" t="s">
        <v>434</v>
      </c>
      <c r="C64" s="61" t="s">
        <v>435</v>
      </c>
      <c r="D64" s="61" t="s">
        <v>436</v>
      </c>
      <c r="E64" s="61" t="s">
        <v>437</v>
      </c>
      <c r="N64" s="59"/>
      <c r="O64" s="60" t="s">
        <v>434</v>
      </c>
      <c r="P64" s="61" t="s">
        <v>435</v>
      </c>
      <c r="Q64" s="61" t="s">
        <v>436</v>
      </c>
      <c r="R64" s="61" t="s">
        <v>437</v>
      </c>
      <c r="AA64" s="59"/>
      <c r="AB64" s="60" t="s">
        <v>434</v>
      </c>
      <c r="AC64" s="61" t="s">
        <v>435</v>
      </c>
      <c r="AD64" s="61" t="s">
        <v>436</v>
      </c>
      <c r="AE64" s="61" t="s">
        <v>437</v>
      </c>
    </row>
    <row r="65" spans="1:35" x14ac:dyDescent="0.3">
      <c r="A65" s="79">
        <v>2020</v>
      </c>
      <c r="B65" s="69">
        <v>2253</v>
      </c>
      <c r="C65" s="51">
        <v>0.48785046728971965</v>
      </c>
      <c r="D65" s="51">
        <v>0.62637362637362637</v>
      </c>
      <c r="E65" s="51">
        <v>0.76485148514851486</v>
      </c>
      <c r="N65" s="79">
        <v>2020</v>
      </c>
      <c r="O65" s="69">
        <v>2934</v>
      </c>
      <c r="P65" s="51">
        <v>0.57491856677524433</v>
      </c>
      <c r="Q65" s="51">
        <v>0.69624446234393877</v>
      </c>
      <c r="R65" s="51">
        <v>0.80769230769230771</v>
      </c>
      <c r="AA65" s="79">
        <v>2020</v>
      </c>
      <c r="AB65" s="69">
        <v>6177</v>
      </c>
      <c r="AC65" s="51">
        <v>0.48407643312101911</v>
      </c>
      <c r="AD65" s="51">
        <v>0.58333333333333337</v>
      </c>
      <c r="AE65" s="51">
        <v>0.68478260869565222</v>
      </c>
    </row>
    <row r="66" spans="1:35" x14ac:dyDescent="0.3">
      <c r="A66" s="79">
        <v>2021</v>
      </c>
      <c r="B66" s="69">
        <v>2210</v>
      </c>
      <c r="C66" s="51">
        <v>0.48749999999999999</v>
      </c>
      <c r="D66" s="51">
        <v>0.62131051026774342</v>
      </c>
      <c r="E66" s="51">
        <v>0.76056338028169013</v>
      </c>
      <c r="N66" s="79">
        <v>2021</v>
      </c>
      <c r="O66" s="69">
        <v>2909</v>
      </c>
      <c r="P66" s="51">
        <v>0.5714285714285714</v>
      </c>
      <c r="Q66" s="51">
        <v>0.68983957219251335</v>
      </c>
      <c r="R66" s="51">
        <v>0.80417754569190603</v>
      </c>
      <c r="AA66" s="79">
        <v>2021</v>
      </c>
      <c r="AB66" s="69">
        <v>6197</v>
      </c>
      <c r="AC66" s="51">
        <v>0.47826086956521741</v>
      </c>
      <c r="AD66" s="51">
        <v>0.58333333333333337</v>
      </c>
      <c r="AE66" s="51">
        <v>0.67808219178082196</v>
      </c>
    </row>
    <row r="67" spans="1:35" x14ac:dyDescent="0.3">
      <c r="B67" s="58"/>
      <c r="O67" s="58"/>
      <c r="AB67" s="58"/>
    </row>
    <row r="68" spans="1:35" x14ac:dyDescent="0.3">
      <c r="A68" s="65" t="str">
        <f>CONCATENATE("Table 54a. College Enrollment Rates in the First Two Years after High School Graduation for Classes ",A70," and ",A71,", Student-Weighted Totals")</f>
        <v>Table 54a. College Enrollment Rates in the First Two Years after High School Graduation for Classes 2020 and 2021, Student-Weighted Totals</v>
      </c>
      <c r="B68" s="58"/>
      <c r="N68" s="65" t="str">
        <f>CONCATENATE("Table 54b. College Enrollment Rates in the First Two Years after High School Graduation for Classes ",N70," and ",N71,", Student-Weighted Totals")</f>
        <v>Table 54b. College Enrollment Rates in the First Two Years after High School Graduation for Classes 2020 and 2021, Student-Weighted Totals</v>
      </c>
      <c r="O68" s="58"/>
      <c r="AA68" s="65" t="str">
        <f>CONCATENATE("Table 54c. College Enrollment Rates in the First Two Years after High School Graduation for Classes ",AA70," and ",AA71,", Student-Weighted Totals")</f>
        <v>Table 54c. College Enrollment Rates in the First Two Years after High School Graduation for Classes 2020 and 2021, Student-Weighted Totals</v>
      </c>
      <c r="AB68" s="58"/>
    </row>
    <row r="69" spans="1:35" ht="28.8" x14ac:dyDescent="0.3">
      <c r="A69" s="59"/>
      <c r="B69" s="60" t="s">
        <v>438</v>
      </c>
      <c r="C69" s="61" t="s">
        <v>439</v>
      </c>
      <c r="D69" s="61" t="s">
        <v>105</v>
      </c>
      <c r="E69" s="61" t="s">
        <v>106</v>
      </c>
      <c r="F69" s="61" t="s">
        <v>440</v>
      </c>
      <c r="G69" s="61" t="s">
        <v>441</v>
      </c>
      <c r="H69" s="61" t="s">
        <v>442</v>
      </c>
      <c r="I69" s="61" t="s">
        <v>443</v>
      </c>
      <c r="N69" s="59"/>
      <c r="O69" s="60" t="s">
        <v>438</v>
      </c>
      <c r="P69" s="61" t="s">
        <v>439</v>
      </c>
      <c r="Q69" s="61" t="s">
        <v>105</v>
      </c>
      <c r="R69" s="61" t="s">
        <v>106</v>
      </c>
      <c r="S69" s="61" t="s">
        <v>440</v>
      </c>
      <c r="T69" s="61" t="s">
        <v>441</v>
      </c>
      <c r="U69" s="61" t="s">
        <v>442</v>
      </c>
      <c r="V69" s="61" t="s">
        <v>443</v>
      </c>
      <c r="AA69" s="59"/>
      <c r="AB69" s="60" t="s">
        <v>438</v>
      </c>
      <c r="AC69" s="61" t="s">
        <v>439</v>
      </c>
      <c r="AD69" s="61" t="s">
        <v>105</v>
      </c>
      <c r="AE69" s="61" t="s">
        <v>106</v>
      </c>
      <c r="AF69" s="61" t="s">
        <v>440</v>
      </c>
      <c r="AG69" s="61" t="s">
        <v>441</v>
      </c>
      <c r="AH69" s="61" t="s">
        <v>442</v>
      </c>
      <c r="AI69" s="61" t="s">
        <v>443</v>
      </c>
    </row>
    <row r="70" spans="1:35" x14ac:dyDescent="0.3">
      <c r="A70" s="79">
        <v>2020</v>
      </c>
      <c r="B70" s="69">
        <v>663802</v>
      </c>
      <c r="C70" s="51">
        <v>0.64508693857505706</v>
      </c>
      <c r="D70" s="51">
        <v>0.54409447395458288</v>
      </c>
      <c r="E70" s="51">
        <v>0.10099246462047418</v>
      </c>
      <c r="F70" s="51">
        <v>0.25053103184383296</v>
      </c>
      <c r="G70" s="51">
        <v>0.39449564779859053</v>
      </c>
      <c r="H70" s="51">
        <v>0.53859283340514186</v>
      </c>
      <c r="I70" s="51">
        <v>0.10649410516991513</v>
      </c>
      <c r="N70" s="79">
        <v>2020</v>
      </c>
      <c r="O70" s="69">
        <v>962460</v>
      </c>
      <c r="P70" s="51">
        <v>0.7008301643704673</v>
      </c>
      <c r="Q70" s="51">
        <v>0.56446397772374957</v>
      </c>
      <c r="R70" s="51">
        <v>0.13636618664671779</v>
      </c>
      <c r="S70" s="51">
        <v>0.24121729734222722</v>
      </c>
      <c r="T70" s="51">
        <v>0.45957857988903433</v>
      </c>
      <c r="U70" s="51">
        <v>0.55732601874363608</v>
      </c>
      <c r="V70" s="51">
        <v>0.14350414562683125</v>
      </c>
      <c r="AA70" s="79">
        <v>2020</v>
      </c>
      <c r="AB70" s="69">
        <v>643510</v>
      </c>
      <c r="AC70" s="51">
        <v>0.60459666516448851</v>
      </c>
      <c r="AD70" s="51">
        <v>0.50802163136547995</v>
      </c>
      <c r="AE70" s="51">
        <v>9.6575033799008558E-2</v>
      </c>
      <c r="AF70" s="51">
        <v>0.24630386474180666</v>
      </c>
      <c r="AG70" s="51">
        <v>0.35828347655825082</v>
      </c>
      <c r="AH70" s="51">
        <v>0.50557877888455505</v>
      </c>
      <c r="AI70" s="51">
        <v>9.9017886279933492E-2</v>
      </c>
    </row>
    <row r="71" spans="1:35" x14ac:dyDescent="0.3">
      <c r="A71" s="79">
        <v>2021</v>
      </c>
      <c r="B71" s="69">
        <v>636345</v>
      </c>
      <c r="C71" s="51">
        <v>0.6457126244411443</v>
      </c>
      <c r="D71" s="51">
        <v>0.54515553669786043</v>
      </c>
      <c r="E71" s="51">
        <v>0.10055708774328391</v>
      </c>
      <c r="F71" s="51">
        <v>0.24116163401928201</v>
      </c>
      <c r="G71" s="51">
        <v>0.40452113240459187</v>
      </c>
      <c r="H71" s="51">
        <v>0.52738530199812994</v>
      </c>
      <c r="I71" s="51">
        <v>0.1183273224430144</v>
      </c>
      <c r="N71" s="79">
        <v>2021</v>
      </c>
      <c r="O71" s="69">
        <v>945983</v>
      </c>
      <c r="P71" s="51">
        <v>0.69703895313129305</v>
      </c>
      <c r="Q71" s="51">
        <v>0.55758930128765527</v>
      </c>
      <c r="R71" s="51">
        <v>0.13944965184363778</v>
      </c>
      <c r="S71" s="51">
        <v>0.2282525161657239</v>
      </c>
      <c r="T71" s="51">
        <v>0.4687547239221001</v>
      </c>
      <c r="U71" s="51">
        <v>0.54099280853884268</v>
      </c>
      <c r="V71" s="51">
        <v>0.15604614459245039</v>
      </c>
      <c r="AA71" s="79">
        <v>2021</v>
      </c>
      <c r="AB71" s="69">
        <v>633310</v>
      </c>
      <c r="AC71" s="51">
        <v>0.60520440226745198</v>
      </c>
      <c r="AD71" s="51">
        <v>0.50664603432758049</v>
      </c>
      <c r="AE71" s="51">
        <v>9.8558367939871466E-2</v>
      </c>
      <c r="AF71" s="51">
        <v>0.2375977009679304</v>
      </c>
      <c r="AG71" s="51">
        <v>0.3675924902496408</v>
      </c>
      <c r="AH71" s="51">
        <v>0.49781623533498603</v>
      </c>
      <c r="AI71" s="51">
        <v>0.10738816693246593</v>
      </c>
    </row>
    <row r="73" spans="1:35" x14ac:dyDescent="0.3">
      <c r="A73">
        <v>2020</v>
      </c>
    </row>
    <row r="74" spans="1:35" x14ac:dyDescent="0.3">
      <c r="A74">
        <v>2021</v>
      </c>
    </row>
    <row r="76" spans="1:35" x14ac:dyDescent="0.3">
      <c r="A76">
        <v>2020</v>
      </c>
    </row>
    <row r="77" spans="1:35" x14ac:dyDescent="0.3">
      <c r="A77">
        <v>2021</v>
      </c>
    </row>
    <row r="92" spans="1:31" x14ac:dyDescent="0.3">
      <c r="A92" s="65" t="str">
        <f>CONCATENATE("Table 55a. Persistence Rates from First to Second Year of College for Class of ",A94," and ",A95,", School Percentile Distribution")</f>
        <v>Table 55a. Persistence Rates from First to Second Year of College for Class of 2020 and 2021, School Percentile Distribution</v>
      </c>
      <c r="B92" s="58"/>
      <c r="N92" s="65" t="str">
        <f>CONCATENATE("Table 55b. Persistence Rates from First to Second Year of College for Class of ",N94," and ",N95,", School Percentile Distribution")</f>
        <v>Table 55b. Persistence Rates from First to Second Year of College for Class of 2020 and 2021, School Percentile Distribution</v>
      </c>
      <c r="O92" s="58"/>
      <c r="AA92" s="65" t="str">
        <f>CONCATENATE("Table 55c. Persistence Rates from First to Second Year of College for Class of ",AA94," and ",AA95,", School Percentile Distribution")</f>
        <v>Table 55c. Persistence Rates from First to Second Year of College for Class of 2020 and 2021, School Percentile Distribution</v>
      </c>
      <c r="AB92" s="58"/>
    </row>
    <row r="93" spans="1:31" ht="28.8" x14ac:dyDescent="0.3">
      <c r="A93" s="59"/>
      <c r="B93" s="60" t="s">
        <v>434</v>
      </c>
      <c r="C93" s="61" t="s">
        <v>435</v>
      </c>
      <c r="D93" s="61" t="s">
        <v>436</v>
      </c>
      <c r="E93" s="61" t="s">
        <v>437</v>
      </c>
      <c r="N93" s="59"/>
      <c r="O93" s="60" t="s">
        <v>434</v>
      </c>
      <c r="P93" s="61" t="s">
        <v>435</v>
      </c>
      <c r="Q93" s="61" t="s">
        <v>436</v>
      </c>
      <c r="R93" s="61" t="s">
        <v>437</v>
      </c>
      <c r="AA93" s="59"/>
      <c r="AB93" s="60" t="s">
        <v>434</v>
      </c>
      <c r="AC93" s="61" t="s">
        <v>435</v>
      </c>
      <c r="AD93" s="61" t="s">
        <v>436</v>
      </c>
      <c r="AE93" s="61" t="s">
        <v>437</v>
      </c>
    </row>
    <row r="94" spans="1:31" x14ac:dyDescent="0.3">
      <c r="A94" s="79">
        <v>2020</v>
      </c>
      <c r="B94" s="69">
        <v>2253</v>
      </c>
      <c r="C94" s="51">
        <v>0.6785714285714286</v>
      </c>
      <c r="D94" s="51">
        <v>0.77472527472527475</v>
      </c>
      <c r="E94" s="51">
        <v>0.852112676056338</v>
      </c>
      <c r="N94" s="79">
        <v>2020</v>
      </c>
      <c r="O94" s="69">
        <v>2934</v>
      </c>
      <c r="P94" s="51">
        <v>0.76329787234042556</v>
      </c>
      <c r="Q94" s="51">
        <v>0.83682008368200833</v>
      </c>
      <c r="R94" s="51">
        <v>0.89676113360323884</v>
      </c>
      <c r="AA94" s="79">
        <v>2020</v>
      </c>
      <c r="AB94" s="69">
        <v>6177</v>
      </c>
      <c r="AC94" s="51">
        <v>0.6875</v>
      </c>
      <c r="AD94" s="51">
        <v>0.76923076923076927</v>
      </c>
      <c r="AE94" s="51">
        <v>0.8392857142857143</v>
      </c>
    </row>
    <row r="95" spans="1:31" x14ac:dyDescent="0.3">
      <c r="A95" s="79">
        <v>2021</v>
      </c>
      <c r="B95" s="69">
        <v>2210</v>
      </c>
      <c r="C95" s="51">
        <v>0.7142857142857143</v>
      </c>
      <c r="D95" s="51">
        <v>0.8</v>
      </c>
      <c r="E95" s="51">
        <v>0.869140625</v>
      </c>
      <c r="N95" s="79">
        <v>2021</v>
      </c>
      <c r="O95" s="69">
        <v>2909</v>
      </c>
      <c r="P95" s="51">
        <v>0.78947368421052633</v>
      </c>
      <c r="Q95" s="51">
        <v>0.85664308087522811</v>
      </c>
      <c r="R95" s="51">
        <v>0.90953149297882541</v>
      </c>
      <c r="AA95" s="79">
        <v>2021</v>
      </c>
      <c r="AB95" s="69">
        <v>6197</v>
      </c>
      <c r="AC95" s="51">
        <v>0.71698113207547165</v>
      </c>
      <c r="AD95" s="51">
        <v>0.79761904761904767</v>
      </c>
      <c r="AE95" s="51">
        <v>0.85915492957746475</v>
      </c>
    </row>
    <row r="96" spans="1:31" x14ac:dyDescent="0.3">
      <c r="B96" s="58"/>
      <c r="O96" s="58"/>
      <c r="AB96" s="58"/>
    </row>
    <row r="97" spans="1:35" x14ac:dyDescent="0.3">
      <c r="B97" s="58"/>
      <c r="O97" s="58"/>
      <c r="AB97" s="58"/>
    </row>
    <row r="98" spans="1:35" x14ac:dyDescent="0.3">
      <c r="A98" s="65" t="str">
        <f>CONCATENATE("Table 56a. Persistence Rates from First to Second Year of College for Class of ",A100," and ",A101,", Student-Weighted Totals")</f>
        <v>Table 56a. Persistence Rates from First to Second Year of College for Class of 2020 and 2021, Student-Weighted Totals</v>
      </c>
      <c r="B98" s="58"/>
      <c r="N98" s="65" t="str">
        <f>CONCATENATE("Table 56b. Persistence Rates from First to Second Year of College for Class of ",N100," and ",N101,", Student-Weighted Totals")</f>
        <v>Table 56b. Persistence Rates from First to Second Year of College for Class of 2020 and 2021, Student-Weighted Totals</v>
      </c>
      <c r="O98" s="58"/>
      <c r="AA98" s="65" t="str">
        <f>CONCATENATE("Table 56c. Persistence Rates from First to Second Year of College for Class of ",AA100," and ",AA101,", Student-Weighted Totals")</f>
        <v>Table 56c. Persistence Rates from First to Second Year of College for Class of 2020 and 2021, Student-Weighted Totals</v>
      </c>
      <c r="AB98" s="58"/>
    </row>
    <row r="99" spans="1:35" ht="43.2" x14ac:dyDescent="0.3">
      <c r="A99" s="59"/>
      <c r="B99" s="60" t="s">
        <v>444</v>
      </c>
      <c r="C99" s="61" t="s">
        <v>439</v>
      </c>
      <c r="D99" s="61" t="s">
        <v>105</v>
      </c>
      <c r="E99" s="61" t="s">
        <v>106</v>
      </c>
      <c r="F99" s="61" t="s">
        <v>440</v>
      </c>
      <c r="G99" s="61" t="s">
        <v>441</v>
      </c>
      <c r="H99" s="61" t="s">
        <v>442</v>
      </c>
      <c r="I99" s="61" t="s">
        <v>443</v>
      </c>
      <c r="N99" s="59"/>
      <c r="O99" s="60" t="s">
        <v>444</v>
      </c>
      <c r="P99" s="61" t="s">
        <v>439</v>
      </c>
      <c r="Q99" s="61" t="s">
        <v>105</v>
      </c>
      <c r="R99" s="61" t="s">
        <v>106</v>
      </c>
      <c r="S99" s="61" t="s">
        <v>440</v>
      </c>
      <c r="T99" s="61" t="s">
        <v>441</v>
      </c>
      <c r="U99" s="61" t="s">
        <v>442</v>
      </c>
      <c r="V99" s="61" t="s">
        <v>443</v>
      </c>
      <c r="AA99" s="59"/>
      <c r="AB99" s="60" t="s">
        <v>444</v>
      </c>
      <c r="AC99" s="61" t="s">
        <v>439</v>
      </c>
      <c r="AD99" s="61" t="s">
        <v>105</v>
      </c>
      <c r="AE99" s="61" t="s">
        <v>106</v>
      </c>
      <c r="AF99" s="61" t="s">
        <v>440</v>
      </c>
      <c r="AG99" s="61" t="s">
        <v>441</v>
      </c>
      <c r="AH99" s="61" t="s">
        <v>442</v>
      </c>
      <c r="AI99" s="61" t="s">
        <v>443</v>
      </c>
    </row>
    <row r="100" spans="1:35" x14ac:dyDescent="0.3">
      <c r="A100" s="79">
        <v>2020</v>
      </c>
      <c r="B100" s="69">
        <v>401598</v>
      </c>
      <c r="C100" s="51">
        <v>0.80767583503901907</v>
      </c>
      <c r="D100" s="51">
        <v>0.79796028672945885</v>
      </c>
      <c r="E100" s="51">
        <v>0.85987210612335574</v>
      </c>
      <c r="F100" s="51">
        <v>0.68824002681863894</v>
      </c>
      <c r="G100" s="51">
        <v>0.87829497286376423</v>
      </c>
      <c r="H100" s="51">
        <v>0.79374695314079169</v>
      </c>
      <c r="I100" s="51">
        <v>0.87956002822691992</v>
      </c>
      <c r="N100" s="79">
        <v>2020</v>
      </c>
      <c r="O100" s="69">
        <v>637583</v>
      </c>
      <c r="P100" s="51">
        <v>0.84884634627962163</v>
      </c>
      <c r="Q100" s="51">
        <v>0.83443474524967287</v>
      </c>
      <c r="R100" s="51">
        <v>0.90764303299259841</v>
      </c>
      <c r="S100" s="51">
        <v>0.72058943060277025</v>
      </c>
      <c r="T100" s="51">
        <v>0.91147746847734246</v>
      </c>
      <c r="U100" s="51">
        <v>0.83188190398095074</v>
      </c>
      <c r="V100" s="51">
        <v>0.91491321670108317</v>
      </c>
      <c r="AA100" s="79">
        <v>2020</v>
      </c>
      <c r="AB100" s="69">
        <v>365312</v>
      </c>
      <c r="AC100" s="51">
        <v>0.78824675893482832</v>
      </c>
      <c r="AD100" s="51">
        <v>0.7735866912062237</v>
      </c>
      <c r="AE100" s="51">
        <v>0.86456139158795953</v>
      </c>
      <c r="AF100" s="51">
        <v>0.66637385927118842</v>
      </c>
      <c r="AG100" s="51">
        <v>0.86704436361669623</v>
      </c>
      <c r="AH100" s="51">
        <v>0.77576103438717781</v>
      </c>
      <c r="AI100" s="51">
        <v>0.85352131885367477</v>
      </c>
    </row>
    <row r="101" spans="1:35" x14ac:dyDescent="0.3">
      <c r="A101" s="79">
        <v>2021</v>
      </c>
      <c r="B101" s="69">
        <v>383251</v>
      </c>
      <c r="C101" s="51">
        <v>0.83335725151402085</v>
      </c>
      <c r="D101" s="51">
        <v>0.82442502014754204</v>
      </c>
      <c r="E101" s="51">
        <v>0.88088601540466094</v>
      </c>
      <c r="F101" s="51">
        <v>0.72400189480852073</v>
      </c>
      <c r="G101" s="51">
        <v>0.892940048038947</v>
      </c>
      <c r="H101" s="51">
        <v>0.81937609448698123</v>
      </c>
      <c r="I101" s="51">
        <v>0.89557587565238417</v>
      </c>
      <c r="N101" s="79">
        <v>2021</v>
      </c>
      <c r="O101" s="69">
        <v>622225</v>
      </c>
      <c r="P101" s="51">
        <v>0.86680059464020254</v>
      </c>
      <c r="Q101" s="51">
        <v>0.85313979428063835</v>
      </c>
      <c r="R101" s="51">
        <v>0.92012766963511705</v>
      </c>
      <c r="S101" s="51">
        <v>0.7458239983327255</v>
      </c>
      <c r="T101" s="51">
        <v>0.92080823293172687</v>
      </c>
      <c r="U101" s="51">
        <v>0.84979782031838369</v>
      </c>
      <c r="V101" s="51">
        <v>0.92524317540006273</v>
      </c>
      <c r="AA101" s="79">
        <v>2021</v>
      </c>
      <c r="AB101" s="69">
        <v>358650</v>
      </c>
      <c r="AC101" s="51">
        <v>0.81310190994005294</v>
      </c>
      <c r="AD101" s="51">
        <v>0.79994789265887734</v>
      </c>
      <c r="AE101" s="51">
        <v>0.879547141796585</v>
      </c>
      <c r="AF101" s="51">
        <v>0.69824130879345603</v>
      </c>
      <c r="AG101" s="51">
        <v>0.88203437615706148</v>
      </c>
      <c r="AH101" s="51">
        <v>0.80037472436790624</v>
      </c>
      <c r="AI101" s="51">
        <v>0.87286789696026423</v>
      </c>
    </row>
    <row r="103" spans="1:35" x14ac:dyDescent="0.3">
      <c r="A103">
        <v>2020</v>
      </c>
    </row>
    <row r="104" spans="1:35" x14ac:dyDescent="0.3">
      <c r="A104">
        <v>2021</v>
      </c>
    </row>
    <row r="106" spans="1:35" x14ac:dyDescent="0.3">
      <c r="A106">
        <v>2020</v>
      </c>
    </row>
    <row r="107" spans="1:35" x14ac:dyDescent="0.3">
      <c r="A107">
        <v>2021</v>
      </c>
    </row>
    <row r="122" spans="1:31" x14ac:dyDescent="0.3">
      <c r="A122" s="65" t="str">
        <f>CONCATENATE("Table 57a. Six-Year Completion Rates for Class of ",,A124," and ",A125,", School Percentile Distribution")</f>
        <v>Table 57a. Six-Year Completion Rates for Class of 2016 and 2017, School Percentile Distribution</v>
      </c>
      <c r="B122" s="58"/>
      <c r="N122" s="65" t="str">
        <f>CONCATENATE("Table 57b. Six-Year Completion Rates for Class of ",N124," and ",N125,", School Percentile Distribution")</f>
        <v>Table 57b. Six-Year Completion Rates for Class of 2016 and 2017, School Percentile Distribution</v>
      </c>
      <c r="O122" s="58"/>
      <c r="AA122" s="65" t="str">
        <f>CONCATENATE("Table 57c. Six-Year Completion Rates for Class of ",AA124," and ",AA125,", School Percentile Distribution")</f>
        <v>Table 57c. Six-Year Completion Rates for Class of 2016 and 2017, School Percentile Distribution</v>
      </c>
      <c r="AB122" s="58"/>
    </row>
    <row r="123" spans="1:31" ht="28.8" x14ac:dyDescent="0.3">
      <c r="A123" s="59"/>
      <c r="B123" s="60" t="s">
        <v>434</v>
      </c>
      <c r="C123" s="61" t="s">
        <v>435</v>
      </c>
      <c r="D123" s="61" t="s">
        <v>436</v>
      </c>
      <c r="E123" s="61" t="s">
        <v>437</v>
      </c>
      <c r="N123" s="59"/>
      <c r="O123" s="60" t="s">
        <v>434</v>
      </c>
      <c r="P123" s="61" t="s">
        <v>435</v>
      </c>
      <c r="Q123" s="61" t="s">
        <v>436</v>
      </c>
      <c r="R123" s="61" t="s">
        <v>437</v>
      </c>
      <c r="AA123" s="59"/>
      <c r="AB123" s="60" t="s">
        <v>434</v>
      </c>
      <c r="AC123" s="61" t="s">
        <v>435</v>
      </c>
      <c r="AD123" s="61" t="s">
        <v>436</v>
      </c>
      <c r="AE123" s="61" t="s">
        <v>437</v>
      </c>
    </row>
    <row r="124" spans="1:31" x14ac:dyDescent="0.3">
      <c r="A124" s="79">
        <v>2016</v>
      </c>
      <c r="B124" s="69">
        <v>2088</v>
      </c>
      <c r="C124" s="51">
        <v>0.19204425711275025</v>
      </c>
      <c r="D124" s="51">
        <v>0.31915225846747863</v>
      </c>
      <c r="E124" s="51">
        <v>0.45842828927377699</v>
      </c>
      <c r="N124" s="79">
        <v>2016</v>
      </c>
      <c r="O124" s="69">
        <v>2750</v>
      </c>
      <c r="P124" s="51">
        <v>0.31203931203931207</v>
      </c>
      <c r="Q124" s="51">
        <v>0.44947480144932839</v>
      </c>
      <c r="R124" s="51">
        <v>0.5964125560538116</v>
      </c>
      <c r="AA124" s="79">
        <v>2016</v>
      </c>
      <c r="AB124" s="69">
        <v>5886</v>
      </c>
      <c r="AC124" s="51">
        <v>0.26470588235294118</v>
      </c>
      <c r="AD124" s="51">
        <v>0.36363636363636365</v>
      </c>
      <c r="AE124" s="51">
        <v>0.46875</v>
      </c>
    </row>
    <row r="125" spans="1:31" x14ac:dyDescent="0.3">
      <c r="A125" s="79">
        <v>2017</v>
      </c>
      <c r="B125" s="69">
        <v>2125</v>
      </c>
      <c r="C125" s="51">
        <v>0.19047619047619047</v>
      </c>
      <c r="D125" s="51">
        <v>0.31874999999999998</v>
      </c>
      <c r="E125" s="51">
        <v>0.45714285714285713</v>
      </c>
      <c r="N125" s="79">
        <v>2017</v>
      </c>
      <c r="O125" s="69">
        <v>2744</v>
      </c>
      <c r="P125" s="51">
        <v>0.3099221258999601</v>
      </c>
      <c r="Q125" s="51">
        <v>0.44362668063558586</v>
      </c>
      <c r="R125" s="51">
        <v>0.59261982570806104</v>
      </c>
      <c r="AA125" s="79">
        <v>2017</v>
      </c>
      <c r="AB125" s="69">
        <v>5912</v>
      </c>
      <c r="AC125" s="51">
        <v>0.25117029421415293</v>
      </c>
      <c r="AD125" s="51">
        <v>0.35416666666666669</v>
      </c>
      <c r="AE125" s="51">
        <v>0.46302510564255528</v>
      </c>
    </row>
    <row r="126" spans="1:31" x14ac:dyDescent="0.3">
      <c r="A126" s="73"/>
      <c r="B126" s="74"/>
      <c r="C126" s="76"/>
      <c r="D126" s="76"/>
      <c r="E126" s="76"/>
      <c r="N126" s="73"/>
      <c r="O126" s="74"/>
      <c r="P126" s="76"/>
      <c r="Q126" s="76"/>
      <c r="R126" s="76"/>
      <c r="AA126" s="73"/>
      <c r="AB126" s="74"/>
      <c r="AC126" s="76"/>
      <c r="AD126" s="76"/>
      <c r="AE126" s="76"/>
    </row>
    <row r="127" spans="1:31" x14ac:dyDescent="0.3">
      <c r="B127" s="58"/>
      <c r="O127" s="58"/>
      <c r="AB127" s="58"/>
    </row>
    <row r="128" spans="1:31" x14ac:dyDescent="0.3">
      <c r="A128" s="65" t="str">
        <f>CONCATENATE("Table 58a. Six-Year Completion Rates for Class of ",A130," and ",A131, ", Student-Weighted Totals")</f>
        <v>Table 58a. Six-Year Completion Rates for Class of 2016 and 2017, Student-Weighted Totals</v>
      </c>
      <c r="B128" s="58"/>
      <c r="N128" s="65" t="str">
        <f>CONCATENATE("Table 58b. Six-Year Completion Rates for Class of ",,N130," and ",N131, ", Student-Weighted Totals")</f>
        <v>Table 58b. Six-Year Completion Rates for Class of 2016 and 2017, Student-Weighted Totals</v>
      </c>
      <c r="O128" s="58"/>
      <c r="AA128" s="65" t="str">
        <f>CONCATENATE("Table 58c. Six-Year Completion Rates for Class of ",,AA130," and ",AA131, ", Student-Weighted Totals")</f>
        <v>Table 58c. Six-Year Completion Rates for Class of 2016 and 2017, Student-Weighted Totals</v>
      </c>
      <c r="AB128" s="58"/>
    </row>
    <row r="129" spans="1:35" ht="28.8" x14ac:dyDescent="0.3">
      <c r="A129" s="59"/>
      <c r="B129" s="60" t="s">
        <v>438</v>
      </c>
      <c r="C129" s="61" t="s">
        <v>439</v>
      </c>
      <c r="D129" s="61" t="s">
        <v>105</v>
      </c>
      <c r="E129" s="61" t="s">
        <v>106</v>
      </c>
      <c r="F129" s="61" t="s">
        <v>440</v>
      </c>
      <c r="G129" s="61" t="s">
        <v>441</v>
      </c>
      <c r="H129" s="61" t="s">
        <v>442</v>
      </c>
      <c r="I129" s="61" t="s">
        <v>443</v>
      </c>
      <c r="N129" s="59"/>
      <c r="O129" s="60" t="s">
        <v>438</v>
      </c>
      <c r="P129" s="61" t="s">
        <v>439</v>
      </c>
      <c r="Q129" s="61" t="s">
        <v>105</v>
      </c>
      <c r="R129" s="61" t="s">
        <v>106</v>
      </c>
      <c r="S129" s="61" t="s">
        <v>440</v>
      </c>
      <c r="T129" s="61" t="s">
        <v>441</v>
      </c>
      <c r="U129" s="61" t="s">
        <v>442</v>
      </c>
      <c r="V129" s="61" t="s">
        <v>443</v>
      </c>
      <c r="AA129" s="59"/>
      <c r="AB129" s="60" t="s">
        <v>438</v>
      </c>
      <c r="AC129" s="61" t="s">
        <v>439</v>
      </c>
      <c r="AD129" s="61" t="s">
        <v>105</v>
      </c>
      <c r="AE129" s="61" t="s">
        <v>106</v>
      </c>
      <c r="AF129" s="61" t="s">
        <v>440</v>
      </c>
      <c r="AG129" s="61" t="s">
        <v>441</v>
      </c>
      <c r="AH129" s="61" t="s">
        <v>442</v>
      </c>
      <c r="AI129" s="61" t="s">
        <v>443</v>
      </c>
    </row>
    <row r="130" spans="1:35" x14ac:dyDescent="0.3">
      <c r="A130" s="79">
        <v>2016</v>
      </c>
      <c r="B130" s="69">
        <v>571919</v>
      </c>
      <c r="C130" s="51">
        <v>0.37614941976049054</v>
      </c>
      <c r="D130" s="51">
        <v>0.30151647348663008</v>
      </c>
      <c r="E130" s="51">
        <v>7.4632946273860454E-2</v>
      </c>
      <c r="F130" s="51">
        <v>8.2728498266362888E-2</v>
      </c>
      <c r="G130" s="51">
        <v>0.29328453854479392</v>
      </c>
      <c r="H130" s="51">
        <v>0.29954241771999179</v>
      </c>
      <c r="I130" s="51">
        <v>7.6607002040498737E-2</v>
      </c>
      <c r="N130" s="79">
        <v>2016</v>
      </c>
      <c r="O130" s="69">
        <v>875423</v>
      </c>
      <c r="P130" s="51">
        <v>0.47375154639528549</v>
      </c>
      <c r="Q130" s="51">
        <v>0.35397630631134891</v>
      </c>
      <c r="R130" s="51">
        <v>0.11977524008393657</v>
      </c>
      <c r="S130" s="51">
        <v>8.7779279274133759E-2</v>
      </c>
      <c r="T130" s="51">
        <v>0.3858237674815489</v>
      </c>
      <c r="U130" s="51">
        <v>0.35528653005461358</v>
      </c>
      <c r="V130" s="51">
        <v>0.11846501634067189</v>
      </c>
      <c r="AA130" s="79">
        <v>2016</v>
      </c>
      <c r="AB130" s="69">
        <v>584214</v>
      </c>
      <c r="AC130" s="51">
        <v>0.39213541613175995</v>
      </c>
      <c r="AD130" s="51">
        <v>0.31446011221915254</v>
      </c>
      <c r="AE130" s="51">
        <v>7.7675303912607366E-2</v>
      </c>
      <c r="AF130" s="51">
        <v>0.11193843351922413</v>
      </c>
      <c r="AG130" s="51">
        <v>0.28015761347725321</v>
      </c>
      <c r="AH130" s="51">
        <v>0.31993926882957274</v>
      </c>
      <c r="AI130" s="51">
        <v>7.2196147302187208E-2</v>
      </c>
    </row>
    <row r="131" spans="1:35" x14ac:dyDescent="0.3">
      <c r="A131" s="79">
        <v>2017</v>
      </c>
      <c r="B131" s="69">
        <v>591119</v>
      </c>
      <c r="C131" s="51">
        <v>0.37554198054875582</v>
      </c>
      <c r="D131" s="51">
        <v>0.30044542638622679</v>
      </c>
      <c r="E131" s="51">
        <v>7.5096554162529028E-2</v>
      </c>
      <c r="F131" s="51">
        <v>8.260434870136131E-2</v>
      </c>
      <c r="G131" s="51">
        <v>0.29280567872120505</v>
      </c>
      <c r="H131" s="51">
        <v>0.2986556006489387</v>
      </c>
      <c r="I131" s="51">
        <v>7.6886379899817128E-2</v>
      </c>
      <c r="N131" s="79">
        <v>2017</v>
      </c>
      <c r="O131" s="69">
        <v>877875</v>
      </c>
      <c r="P131" s="51">
        <v>0.46951103517015519</v>
      </c>
      <c r="Q131" s="51">
        <v>0.35116958564715933</v>
      </c>
      <c r="R131" s="51">
        <v>0.11834144952299587</v>
      </c>
      <c r="S131" s="51">
        <v>8.6790260572404951E-2</v>
      </c>
      <c r="T131" s="51">
        <v>0.38259661113484267</v>
      </c>
      <c r="U131" s="51">
        <v>0.35191000996725047</v>
      </c>
      <c r="V131" s="51">
        <v>0.11760102520290475</v>
      </c>
      <c r="AA131" s="79">
        <v>2017</v>
      </c>
      <c r="AB131" s="69">
        <v>593762</v>
      </c>
      <c r="AC131" s="51">
        <v>0.38584146509881062</v>
      </c>
      <c r="AD131" s="51">
        <v>0.30941016771029467</v>
      </c>
      <c r="AE131" s="51">
        <v>7.6431297388515937E-2</v>
      </c>
      <c r="AF131" s="51">
        <v>0.10905379596538681</v>
      </c>
      <c r="AG131" s="51">
        <v>0.27675398560365938</v>
      </c>
      <c r="AH131" s="51">
        <v>0.31457722117616149</v>
      </c>
      <c r="AI131" s="51">
        <v>7.1264243922649143E-2</v>
      </c>
    </row>
    <row r="133" spans="1:35" x14ac:dyDescent="0.3">
      <c r="A133">
        <v>2016</v>
      </c>
      <c r="AA133" s="2"/>
    </row>
    <row r="134" spans="1:35" x14ac:dyDescent="0.3">
      <c r="A134">
        <v>2017</v>
      </c>
    </row>
    <row r="136" spans="1:35" x14ac:dyDescent="0.3">
      <c r="A136">
        <v>2016</v>
      </c>
    </row>
    <row r="137" spans="1:35" x14ac:dyDescent="0.3">
      <c r="A137">
        <v>2017</v>
      </c>
    </row>
  </sheetData>
  <mergeCells count="3">
    <mergeCell ref="A2:L2"/>
    <mergeCell ref="N2:Y2"/>
    <mergeCell ref="AA2:AL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38DD9-3A43-47E0-AB95-F292B3E4D564}">
  <dimension ref="A1:P137"/>
  <sheetViews>
    <sheetView zoomScaleNormal="100" workbookViewId="0">
      <selection activeCell="M14" sqref="M14"/>
    </sheetView>
  </sheetViews>
  <sheetFormatPr defaultRowHeight="14.4" x14ac:dyDescent="0.3"/>
  <cols>
    <col min="2" max="2" width="14.5546875" customWidth="1"/>
    <col min="3" max="3" width="11.5546875" customWidth="1"/>
    <col min="4" max="4" width="10.5546875" customWidth="1"/>
    <col min="5" max="5" width="11.6640625" customWidth="1"/>
    <col min="13" max="13" width="13.6640625" customWidth="1"/>
  </cols>
  <sheetData>
    <row r="1" spans="1:16" ht="28.8" x14ac:dyDescent="0.3">
      <c r="A1" s="53" t="s">
        <v>455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14.4" customHeight="1" x14ac:dyDescent="0.3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6" x14ac:dyDescent="0.3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7"/>
      <c r="N3" s="56"/>
      <c r="O3" s="56"/>
      <c r="P3" s="56"/>
    </row>
    <row r="4" spans="1:16" x14ac:dyDescent="0.3">
      <c r="A4" s="2" t="str">
        <f>CONCATENATE("Table 59. College Enrollment Rates in the First Fall after High School Graduation for Classes ",A6," and ",A7,", School Percentile Distribution")</f>
        <v>Table 59. College Enrollment Rates in the First Fall after High School Graduation for Classes 2022 and 2023, School Percentile Distribution</v>
      </c>
      <c r="B4" s="58"/>
    </row>
    <row r="5" spans="1:16" ht="28.8" x14ac:dyDescent="0.3">
      <c r="A5" s="59"/>
      <c r="B5" s="60" t="s">
        <v>434</v>
      </c>
      <c r="C5" s="61" t="s">
        <v>435</v>
      </c>
      <c r="D5" s="61" t="s">
        <v>436</v>
      </c>
      <c r="E5" s="61" t="s">
        <v>437</v>
      </c>
    </row>
    <row r="6" spans="1:16" x14ac:dyDescent="0.3">
      <c r="A6" s="62">
        <v>2022</v>
      </c>
      <c r="B6" s="69">
        <v>1537</v>
      </c>
      <c r="C6" s="51">
        <v>0.25</v>
      </c>
      <c r="D6" s="51">
        <v>0.48214285714285715</v>
      </c>
      <c r="E6" s="51">
        <v>0.6853932584269663</v>
      </c>
      <c r="G6" s="64"/>
      <c r="I6" s="64"/>
    </row>
    <row r="7" spans="1:16" x14ac:dyDescent="0.3">
      <c r="A7" s="62">
        <v>2023</v>
      </c>
      <c r="B7" s="69">
        <v>1305</v>
      </c>
      <c r="C7" s="51">
        <v>0.28915662650602408</v>
      </c>
      <c r="D7" s="51">
        <v>0.52380952380952384</v>
      </c>
      <c r="E7" s="51">
        <v>0.7142857142857143</v>
      </c>
    </row>
    <row r="8" spans="1:16" x14ac:dyDescent="0.3">
      <c r="B8" s="58"/>
    </row>
    <row r="9" spans="1:16" x14ac:dyDescent="0.3">
      <c r="A9" s="2" t="str">
        <f>CONCATENATE("Table 60. College Enrollment Rates in the First Fall after High School Graduation for Classes ",A11," and ",A12,", Student-Weighted Totals")</f>
        <v>Table 60. College Enrollment Rates in the First Fall after High School Graduation for Classes 2022 and 2023, Student-Weighted Totals</v>
      </c>
      <c r="B9" s="58"/>
    </row>
    <row r="10" spans="1:16" ht="28.8" x14ac:dyDescent="0.3">
      <c r="A10" s="59"/>
      <c r="B10" s="60" t="s">
        <v>438</v>
      </c>
      <c r="C10" s="61" t="s">
        <v>439</v>
      </c>
      <c r="D10" s="61" t="s">
        <v>105</v>
      </c>
      <c r="E10" s="61" t="s">
        <v>106</v>
      </c>
      <c r="F10" s="61" t="s">
        <v>440</v>
      </c>
      <c r="G10" s="61" t="s">
        <v>441</v>
      </c>
      <c r="H10" s="61" t="s">
        <v>442</v>
      </c>
      <c r="I10" s="61" t="s">
        <v>443</v>
      </c>
    </row>
    <row r="11" spans="1:16" x14ac:dyDescent="0.3">
      <c r="A11" s="62">
        <v>2022</v>
      </c>
      <c r="B11" s="69">
        <v>115849</v>
      </c>
      <c r="C11" s="51">
        <v>0.48625365777866014</v>
      </c>
      <c r="D11" s="51">
        <v>0.39142331828500893</v>
      </c>
      <c r="E11" s="51">
        <v>9.4830339493651217E-2</v>
      </c>
      <c r="F11" s="51">
        <v>0.16118395497587376</v>
      </c>
      <c r="G11" s="51">
        <v>0.32506970280278641</v>
      </c>
      <c r="H11" s="51">
        <v>0.40676225086103462</v>
      </c>
      <c r="I11" s="51">
        <v>7.9491406917625532E-2</v>
      </c>
    </row>
    <row r="12" spans="1:16" x14ac:dyDescent="0.3">
      <c r="A12" s="62">
        <v>2023</v>
      </c>
      <c r="B12" s="69">
        <v>101679</v>
      </c>
      <c r="C12" s="51">
        <v>0.51139369978068239</v>
      </c>
      <c r="D12" s="51">
        <v>0.40600320616843205</v>
      </c>
      <c r="E12" s="51">
        <v>0.10539049361225032</v>
      </c>
      <c r="F12" s="51">
        <v>0.15619744490012688</v>
      </c>
      <c r="G12" s="51">
        <v>0.35519625488055545</v>
      </c>
      <c r="H12" s="51">
        <v>0.42985277195881155</v>
      </c>
      <c r="I12" s="51">
        <v>8.1540927821870793E-2</v>
      </c>
    </row>
    <row r="14" spans="1:16" x14ac:dyDescent="0.3">
      <c r="A14">
        <v>2022</v>
      </c>
    </row>
    <row r="15" spans="1:16" x14ac:dyDescent="0.3">
      <c r="A15">
        <v>2023</v>
      </c>
    </row>
    <row r="17" spans="1:1" x14ac:dyDescent="0.3">
      <c r="A17">
        <v>2022</v>
      </c>
    </row>
    <row r="18" spans="1:1" x14ac:dyDescent="0.3">
      <c r="A18">
        <v>2023</v>
      </c>
    </row>
    <row r="33" spans="1:9" x14ac:dyDescent="0.3">
      <c r="A33" s="65" t="str">
        <f>CONCATENATE("Table 61. College Enrollment Rates in the First Year after High School Graduation for Classes ",A35," and ",A36,", School Percentile Distribution")</f>
        <v>Table 61. College Enrollment Rates in the First Year after High School Graduation for Classes 2021 and 2022, School Percentile Distribution</v>
      </c>
      <c r="B33" s="58"/>
    </row>
    <row r="34" spans="1:9" ht="28.8" x14ac:dyDescent="0.3">
      <c r="A34" s="59"/>
      <c r="B34" s="60" t="s">
        <v>434</v>
      </c>
      <c r="C34" s="60" t="s">
        <v>435</v>
      </c>
      <c r="D34" s="60" t="s">
        <v>436</v>
      </c>
      <c r="E34" s="60" t="s">
        <v>437</v>
      </c>
    </row>
    <row r="35" spans="1:9" x14ac:dyDescent="0.3">
      <c r="A35" s="62">
        <v>2021</v>
      </c>
      <c r="B35" s="69">
        <v>1486</v>
      </c>
      <c r="C35" s="51">
        <v>0.2857142857142857</v>
      </c>
      <c r="D35" s="51">
        <v>0.5</v>
      </c>
      <c r="E35" s="51">
        <v>0.70454545454545459</v>
      </c>
    </row>
    <row r="36" spans="1:9" x14ac:dyDescent="0.3">
      <c r="A36" s="62">
        <v>2022</v>
      </c>
      <c r="B36" s="69">
        <v>1537</v>
      </c>
      <c r="C36" s="51">
        <v>0.29629629629629628</v>
      </c>
      <c r="D36" s="51">
        <v>0.51968503937007871</v>
      </c>
      <c r="E36" s="51">
        <v>0.73076923076923073</v>
      </c>
    </row>
    <row r="37" spans="1:9" x14ac:dyDescent="0.3">
      <c r="B37" s="58"/>
    </row>
    <row r="38" spans="1:9" x14ac:dyDescent="0.3">
      <c r="A38" s="65" t="str">
        <f>CONCATENATE("Table 62. College Enrollment Rates in the First Year after High School Graduation for Classes ",A40," and ",A41,", Student-Weighted Totals")</f>
        <v>Table 62. College Enrollment Rates in the First Year after High School Graduation for Classes 2021 and 2022, Student-Weighted Totals</v>
      </c>
      <c r="B38" s="58"/>
    </row>
    <row r="39" spans="1:9" ht="28.8" x14ac:dyDescent="0.3">
      <c r="A39" s="59"/>
      <c r="B39" s="60" t="s">
        <v>438</v>
      </c>
      <c r="C39" s="61" t="s">
        <v>439</v>
      </c>
      <c r="D39" s="61" t="s">
        <v>105</v>
      </c>
      <c r="E39" s="61" t="s">
        <v>106</v>
      </c>
      <c r="F39" s="61" t="s">
        <v>440</v>
      </c>
      <c r="G39" s="61" t="s">
        <v>441</v>
      </c>
      <c r="H39" s="61" t="s">
        <v>442</v>
      </c>
      <c r="I39" s="61" t="s">
        <v>443</v>
      </c>
    </row>
    <row r="40" spans="1:9" x14ac:dyDescent="0.3">
      <c r="A40" s="62">
        <v>2021</v>
      </c>
      <c r="B40" s="69">
        <v>108806</v>
      </c>
      <c r="C40" s="51">
        <v>0.51288531882432953</v>
      </c>
      <c r="D40" s="51">
        <v>0.41028068305056709</v>
      </c>
      <c r="E40" s="51">
        <v>0.10260463577376247</v>
      </c>
      <c r="F40" s="51">
        <v>0.17788541073102587</v>
      </c>
      <c r="G40" s="51">
        <v>0.33494476407551055</v>
      </c>
      <c r="H40" s="51">
        <v>0.42415859419517304</v>
      </c>
      <c r="I40" s="51">
        <v>8.8726724629156484E-2</v>
      </c>
    </row>
    <row r="41" spans="1:9" x14ac:dyDescent="0.3">
      <c r="A41" s="62">
        <v>2022</v>
      </c>
      <c r="B41" s="69">
        <v>115849</v>
      </c>
      <c r="C41" s="51">
        <v>0.52478657562861997</v>
      </c>
      <c r="D41" s="51">
        <v>0.42306795915372597</v>
      </c>
      <c r="E41" s="51">
        <v>0.10171861647489404</v>
      </c>
      <c r="F41" s="51">
        <v>0.18343706031126725</v>
      </c>
      <c r="G41" s="51">
        <v>0.34134951531735275</v>
      </c>
      <c r="H41" s="51">
        <v>0.43797529542766878</v>
      </c>
      <c r="I41" s="51">
        <v>8.6811280200951232E-2</v>
      </c>
    </row>
    <row r="43" spans="1:9" x14ac:dyDescent="0.3">
      <c r="A43">
        <v>2021</v>
      </c>
    </row>
    <row r="44" spans="1:9" x14ac:dyDescent="0.3">
      <c r="A44">
        <v>2022</v>
      </c>
    </row>
    <row r="46" spans="1:9" x14ac:dyDescent="0.3">
      <c r="A46">
        <v>2021</v>
      </c>
    </row>
    <row r="47" spans="1:9" x14ac:dyDescent="0.3">
      <c r="A47">
        <v>2022</v>
      </c>
    </row>
    <row r="63" spans="1:5" x14ac:dyDescent="0.3">
      <c r="A63" s="65" t="str">
        <f>CONCATENATE("Table 63. College Enrollment Rates in the First Two Years after High School Graduation for Classes ",A65," and ",A66,", School Percentile Distribution")</f>
        <v>Table 63. College Enrollment Rates in the First Two Years after High School Graduation for Classes 2020 and 2021, School Percentile Distribution</v>
      </c>
      <c r="B63" s="58"/>
    </row>
    <row r="64" spans="1:5" ht="28.8" x14ac:dyDescent="0.3">
      <c r="A64" s="59"/>
      <c r="B64" s="60" t="s">
        <v>434</v>
      </c>
      <c r="C64" s="61" t="s">
        <v>435</v>
      </c>
      <c r="D64" s="61" t="s">
        <v>436</v>
      </c>
      <c r="E64" s="61" t="s">
        <v>437</v>
      </c>
    </row>
    <row r="65" spans="1:9" x14ac:dyDescent="0.3">
      <c r="A65" s="62">
        <v>2020</v>
      </c>
      <c r="B65" s="69">
        <v>1456</v>
      </c>
      <c r="C65" s="51">
        <v>0.33333333333333331</v>
      </c>
      <c r="D65" s="51">
        <v>0.5714285714285714</v>
      </c>
      <c r="E65" s="51">
        <v>0.75862068965517238</v>
      </c>
    </row>
    <row r="66" spans="1:9" x14ac:dyDescent="0.3">
      <c r="A66" s="62">
        <v>2021</v>
      </c>
      <c r="B66" s="69">
        <v>1486</v>
      </c>
      <c r="C66" s="51">
        <v>0.34782608695652173</v>
      </c>
      <c r="D66" s="51">
        <v>0.55791592128801426</v>
      </c>
      <c r="E66" s="51">
        <v>0.74137931034482762</v>
      </c>
    </row>
    <row r="67" spans="1:9" x14ac:dyDescent="0.3">
      <c r="B67" s="58"/>
    </row>
    <row r="68" spans="1:9" x14ac:dyDescent="0.3">
      <c r="A68" s="65" t="str">
        <f>CONCATENATE("Table 64. College Enrollment Rates in the First Two Years after High School Graduation for Classes ",A70," and ",A71,", Student-Weighted Totals")</f>
        <v>Table 64. College Enrollment Rates in the First Two Years after High School Graduation for Classes 2020 and 2021, Student-Weighted Totals</v>
      </c>
      <c r="B68" s="58"/>
    </row>
    <row r="69" spans="1:9" ht="28.8" x14ac:dyDescent="0.3">
      <c r="A69" s="59"/>
      <c r="B69" s="60" t="s">
        <v>438</v>
      </c>
      <c r="C69" s="61" t="s">
        <v>439</v>
      </c>
      <c r="D69" s="61" t="s">
        <v>105</v>
      </c>
      <c r="E69" s="61" t="s">
        <v>106</v>
      </c>
      <c r="F69" s="61" t="s">
        <v>440</v>
      </c>
      <c r="G69" s="61" t="s">
        <v>441</v>
      </c>
      <c r="H69" s="61" t="s">
        <v>442</v>
      </c>
      <c r="I69" s="61" t="s">
        <v>443</v>
      </c>
    </row>
    <row r="70" spans="1:9" x14ac:dyDescent="0.3">
      <c r="A70" s="62">
        <v>2020</v>
      </c>
      <c r="B70" s="69">
        <v>104908</v>
      </c>
      <c r="C70" s="51">
        <v>0.55721203340069392</v>
      </c>
      <c r="D70" s="51">
        <v>0.44796393030083503</v>
      </c>
      <c r="E70" s="51">
        <v>0.10924810309985893</v>
      </c>
      <c r="F70" s="51">
        <v>0.21424486216494451</v>
      </c>
      <c r="G70" s="51">
        <v>0.3428813817821329</v>
      </c>
      <c r="H70" s="51">
        <v>0.46597971556030043</v>
      </c>
      <c r="I70" s="51">
        <v>9.1232317840393484E-2</v>
      </c>
    </row>
    <row r="71" spans="1:9" x14ac:dyDescent="0.3">
      <c r="A71" s="62">
        <v>2021</v>
      </c>
      <c r="B71" s="69">
        <v>108806</v>
      </c>
      <c r="C71" s="51">
        <v>0.56082385162582948</v>
      </c>
      <c r="D71" s="51">
        <v>0.45051743470029226</v>
      </c>
      <c r="E71" s="51">
        <v>0.11030641692553719</v>
      </c>
      <c r="F71" s="51">
        <v>0.20867415399886036</v>
      </c>
      <c r="G71" s="51">
        <v>0.35209455360917596</v>
      </c>
      <c r="H71" s="51">
        <v>0.46228149182949468</v>
      </c>
      <c r="I71" s="51">
        <v>9.8542359796334758E-2</v>
      </c>
    </row>
    <row r="73" spans="1:9" x14ac:dyDescent="0.3">
      <c r="A73">
        <v>2020</v>
      </c>
    </row>
    <row r="74" spans="1:9" x14ac:dyDescent="0.3">
      <c r="A74">
        <v>2021</v>
      </c>
    </row>
    <row r="76" spans="1:9" x14ac:dyDescent="0.3">
      <c r="A76">
        <v>2020</v>
      </c>
    </row>
    <row r="77" spans="1:9" x14ac:dyDescent="0.3">
      <c r="A77">
        <v>2021</v>
      </c>
    </row>
    <row r="92" spans="1:5" x14ac:dyDescent="0.3">
      <c r="A92" s="65" t="str">
        <f>CONCATENATE("Table 65. Persistence Rates from First to Second Year of College for Class of ",A94," and ",A95,", School Percentile Distribution")</f>
        <v>Table 65. Persistence Rates from First to Second Year of College for Class of 2020 and 2021, School Percentile Distribution</v>
      </c>
      <c r="B92" s="58"/>
    </row>
    <row r="93" spans="1:5" ht="28.8" x14ac:dyDescent="0.3">
      <c r="A93" s="59"/>
      <c r="B93" s="60" t="s">
        <v>434</v>
      </c>
      <c r="C93" s="61" t="s">
        <v>435</v>
      </c>
      <c r="D93" s="61" t="s">
        <v>436</v>
      </c>
      <c r="E93" s="61" t="s">
        <v>437</v>
      </c>
    </row>
    <row r="94" spans="1:5" x14ac:dyDescent="0.3">
      <c r="A94" s="62">
        <v>2020</v>
      </c>
      <c r="B94" s="69">
        <v>1456</v>
      </c>
      <c r="C94" s="51">
        <v>0.6</v>
      </c>
      <c r="D94" s="51">
        <v>0.7338541666666667</v>
      </c>
      <c r="E94" s="51">
        <v>0.84674329501915713</v>
      </c>
    </row>
    <row r="95" spans="1:5" x14ac:dyDescent="0.3">
      <c r="A95" s="62">
        <v>2021</v>
      </c>
      <c r="B95" s="69">
        <v>1486</v>
      </c>
      <c r="C95" s="51">
        <v>0.6428571428571429</v>
      </c>
      <c r="D95" s="51">
        <v>0.7656947727869714</v>
      </c>
      <c r="E95" s="51">
        <v>0.8571428571428571</v>
      </c>
    </row>
    <row r="96" spans="1:5" x14ac:dyDescent="0.3">
      <c r="B96" s="58"/>
    </row>
    <row r="97" spans="1:9" x14ac:dyDescent="0.3">
      <c r="B97" s="58"/>
    </row>
    <row r="98" spans="1:9" x14ac:dyDescent="0.3">
      <c r="A98" s="65" t="str">
        <f>CONCATENATE("Table 66. Persistence Rates from First to Second Year of College for Class of ",A100," and ",A101,", Student-Weighted Totals")</f>
        <v>Table 66. Persistence Rates from First to Second Year of College for Class of 2020 and 2021, Student-Weighted Totals</v>
      </c>
      <c r="B98" s="58"/>
    </row>
    <row r="99" spans="1:9" ht="43.2" x14ac:dyDescent="0.3">
      <c r="A99" s="59"/>
      <c r="B99" s="60" t="s">
        <v>444</v>
      </c>
      <c r="C99" s="61" t="s">
        <v>439</v>
      </c>
      <c r="D99" s="61" t="s">
        <v>105</v>
      </c>
      <c r="E99" s="61" t="s">
        <v>106</v>
      </c>
      <c r="F99" s="61" t="s">
        <v>440</v>
      </c>
      <c r="G99" s="61" t="s">
        <v>441</v>
      </c>
      <c r="H99" s="61" t="s">
        <v>442</v>
      </c>
      <c r="I99" s="61" t="s">
        <v>443</v>
      </c>
    </row>
    <row r="100" spans="1:9" x14ac:dyDescent="0.3">
      <c r="A100" s="62">
        <v>2020</v>
      </c>
      <c r="B100" s="69">
        <v>53761</v>
      </c>
      <c r="C100" s="51">
        <v>0.75686836182362682</v>
      </c>
      <c r="D100" s="51">
        <v>0.74613369194741352</v>
      </c>
      <c r="E100" s="51">
        <v>0.8004138449962378</v>
      </c>
      <c r="F100" s="51">
        <v>0.65507856629351957</v>
      </c>
      <c r="G100" s="51">
        <v>0.81482453837402646</v>
      </c>
      <c r="H100" s="51">
        <v>0.74708807603050065</v>
      </c>
      <c r="I100" s="51">
        <v>0.80883043682480038</v>
      </c>
    </row>
    <row r="101" spans="1:9" x14ac:dyDescent="0.3">
      <c r="A101" s="62">
        <v>2021</v>
      </c>
      <c r="B101" s="69">
        <v>55805</v>
      </c>
      <c r="C101" s="51">
        <v>0.7836036197473345</v>
      </c>
      <c r="D101" s="51">
        <v>0.7713312873815551</v>
      </c>
      <c r="E101" s="51">
        <v>0.83267646005016127</v>
      </c>
      <c r="F101" s="51">
        <v>0.67863601136657192</v>
      </c>
      <c r="G101" s="51">
        <v>0.83947974975304573</v>
      </c>
      <c r="H101" s="51">
        <v>0.77226928993954624</v>
      </c>
      <c r="I101" s="51">
        <v>0.83778744561839646</v>
      </c>
    </row>
    <row r="103" spans="1:9" x14ac:dyDescent="0.3">
      <c r="A103">
        <v>2020</v>
      </c>
    </row>
    <row r="104" spans="1:9" x14ac:dyDescent="0.3">
      <c r="A104">
        <v>2021</v>
      </c>
    </row>
    <row r="106" spans="1:9" x14ac:dyDescent="0.3">
      <c r="A106">
        <v>2020</v>
      </c>
    </row>
    <row r="107" spans="1:9" x14ac:dyDescent="0.3">
      <c r="A107">
        <v>2021</v>
      </c>
    </row>
    <row r="122" spans="1:5" x14ac:dyDescent="0.3">
      <c r="A122" s="65" t="str">
        <f>CONCATENATE("Table 67. Six-Year Completion Rates for Class of ",,A124," and ",A125,", School Percentile Distribution")</f>
        <v>Table 67. Six-Year Completion Rates for Class of 2016 and 2017, School Percentile Distribution</v>
      </c>
      <c r="B122" s="58"/>
    </row>
    <row r="123" spans="1:5" ht="28.8" x14ac:dyDescent="0.3">
      <c r="A123" s="59"/>
      <c r="B123" s="60" t="s">
        <v>434</v>
      </c>
      <c r="C123" s="61" t="s">
        <v>435</v>
      </c>
      <c r="D123" s="61" t="s">
        <v>436</v>
      </c>
      <c r="E123" s="61" t="s">
        <v>437</v>
      </c>
    </row>
    <row r="124" spans="1:5" x14ac:dyDescent="0.3">
      <c r="A124" s="62">
        <v>2016</v>
      </c>
      <c r="B124" s="69">
        <v>1192</v>
      </c>
      <c r="C124" s="51">
        <v>8.3333333333333329E-2</v>
      </c>
      <c r="D124" s="51">
        <v>0.2361111111111111</v>
      </c>
      <c r="E124" s="51">
        <v>0.40054945054945057</v>
      </c>
    </row>
    <row r="125" spans="1:5" x14ac:dyDescent="0.3">
      <c r="A125" s="62">
        <v>2017</v>
      </c>
      <c r="B125" s="69">
        <v>1254</v>
      </c>
      <c r="C125" s="51">
        <v>0.09</v>
      </c>
      <c r="D125" s="51">
        <v>0.23986063962837234</v>
      </c>
      <c r="E125" s="51">
        <v>0.40909090909090912</v>
      </c>
    </row>
    <row r="126" spans="1:5" x14ac:dyDescent="0.3">
      <c r="A126" s="73"/>
      <c r="B126" s="74"/>
      <c r="C126" s="76"/>
      <c r="D126" s="76"/>
      <c r="E126" s="76"/>
    </row>
    <row r="127" spans="1:5" x14ac:dyDescent="0.3">
      <c r="B127" s="58"/>
    </row>
    <row r="128" spans="1:5" x14ac:dyDescent="0.3">
      <c r="A128" s="65" t="str">
        <f>CONCATENATE("Table 68. Six-Year Completion Rates for Class of ",A130," and ",A131, ", Student-Weighted Totals")</f>
        <v>Table 68. Six-Year Completion Rates for Class of 2016 and 2017, Student-Weighted Totals</v>
      </c>
      <c r="B128" s="58"/>
    </row>
    <row r="129" spans="1:9" ht="28.8" x14ac:dyDescent="0.3">
      <c r="A129" s="59"/>
      <c r="B129" s="60" t="s">
        <v>438</v>
      </c>
      <c r="C129" s="61" t="s">
        <v>439</v>
      </c>
      <c r="D129" s="61" t="s">
        <v>105</v>
      </c>
      <c r="E129" s="61" t="s">
        <v>106</v>
      </c>
      <c r="F129" s="61" t="s">
        <v>440</v>
      </c>
      <c r="G129" s="61" t="s">
        <v>441</v>
      </c>
      <c r="H129" s="61" t="s">
        <v>442</v>
      </c>
      <c r="I129" s="61" t="s">
        <v>443</v>
      </c>
    </row>
    <row r="130" spans="1:9" x14ac:dyDescent="0.3">
      <c r="A130" s="62">
        <v>2016</v>
      </c>
      <c r="B130" s="69">
        <v>82025</v>
      </c>
      <c r="C130" s="51">
        <v>0.29956720512039015</v>
      </c>
      <c r="D130" s="51">
        <v>0.22816214568729046</v>
      </c>
      <c r="E130" s="51">
        <v>7.140505943309966E-2</v>
      </c>
      <c r="F130" s="51">
        <v>7.6049984760743677E-2</v>
      </c>
      <c r="G130" s="51">
        <v>0.2232733922584578</v>
      </c>
      <c r="H130" s="51">
        <v>0.24071929289850655</v>
      </c>
      <c r="I130" s="51">
        <v>5.8847912221883569E-2</v>
      </c>
    </row>
    <row r="131" spans="1:9" x14ac:dyDescent="0.3">
      <c r="A131" s="62">
        <v>2017</v>
      </c>
      <c r="B131" s="69">
        <v>88254</v>
      </c>
      <c r="C131" s="51">
        <v>0.30533460239762505</v>
      </c>
      <c r="D131" s="51">
        <v>0.2319668230335169</v>
      </c>
      <c r="E131" s="51">
        <v>7.336777936410814E-2</v>
      </c>
      <c r="F131" s="51">
        <v>7.7764180660366666E-2</v>
      </c>
      <c r="G131" s="51">
        <v>0.22738912683844359</v>
      </c>
      <c r="H131" s="51">
        <v>0.24746753688218098</v>
      </c>
      <c r="I131" s="51">
        <v>5.7867065515444058E-2</v>
      </c>
    </row>
    <row r="133" spans="1:9" x14ac:dyDescent="0.3">
      <c r="A133">
        <v>2016</v>
      </c>
    </row>
    <row r="134" spans="1:9" x14ac:dyDescent="0.3">
      <c r="A134">
        <v>2017</v>
      </c>
    </row>
    <row r="136" spans="1:9" x14ac:dyDescent="0.3">
      <c r="A136">
        <v>2016</v>
      </c>
    </row>
    <row r="137" spans="1:9" x14ac:dyDescent="0.3">
      <c r="A137">
        <v>2017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C2AB3-CFD1-4026-8A01-67C5BD7D7ED0}">
  <dimension ref="A1:P137"/>
  <sheetViews>
    <sheetView topLeftCell="A140" zoomScaleNormal="100" workbookViewId="0">
      <selection activeCell="K10" sqref="K10"/>
    </sheetView>
  </sheetViews>
  <sheetFormatPr defaultRowHeight="14.4" x14ac:dyDescent="0.3"/>
  <cols>
    <col min="2" max="2" width="14.5546875" customWidth="1"/>
    <col min="3" max="3" width="11.5546875" customWidth="1"/>
    <col min="4" max="4" width="10.5546875" customWidth="1"/>
    <col min="5" max="5" width="11.6640625" customWidth="1"/>
    <col min="13" max="13" width="13.6640625" customWidth="1"/>
  </cols>
  <sheetData>
    <row r="1" spans="1:16" ht="28.8" x14ac:dyDescent="0.3">
      <c r="A1" s="53" t="s">
        <v>456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14.4" customHeight="1" x14ac:dyDescent="0.3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6" x14ac:dyDescent="0.3">
      <c r="A3" s="77" t="s">
        <v>457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7"/>
      <c r="N3" s="56"/>
      <c r="O3" s="56"/>
      <c r="P3" s="56"/>
    </row>
    <row r="4" spans="1:16" x14ac:dyDescent="0.3">
      <c r="A4" s="2" t="str">
        <f>CONCATENATE("Table 69. College Enrollment Rates in the First Fall after High School Graduation for Classes ",A6," and ",A7,", School Percentile Distribution")</f>
        <v>Table 69. College Enrollment Rates in the First Fall after High School Graduation for Classes 2022 and 2023, School Percentile Distribution</v>
      </c>
      <c r="B4" s="58"/>
    </row>
    <row r="5" spans="1:16" ht="28.8" x14ac:dyDescent="0.3">
      <c r="A5" s="59"/>
      <c r="B5" s="60" t="s">
        <v>434</v>
      </c>
      <c r="C5" s="61" t="s">
        <v>435</v>
      </c>
      <c r="D5" s="61" t="s">
        <v>436</v>
      </c>
      <c r="E5" s="61" t="s">
        <v>437</v>
      </c>
    </row>
    <row r="6" spans="1:16" x14ac:dyDescent="0.3">
      <c r="A6" s="62">
        <v>2022</v>
      </c>
      <c r="B6" s="60">
        <v>195</v>
      </c>
      <c r="C6" s="11">
        <v>0.7142857142857143</v>
      </c>
      <c r="D6" s="11">
        <v>0.83898305084745761</v>
      </c>
      <c r="E6" s="11">
        <v>0.9</v>
      </c>
      <c r="G6" s="64"/>
      <c r="I6" s="64"/>
    </row>
    <row r="7" spans="1:16" x14ac:dyDescent="0.3">
      <c r="A7" s="62">
        <v>2023</v>
      </c>
      <c r="B7" s="60">
        <v>174</v>
      </c>
      <c r="C7" s="63" t="s">
        <v>458</v>
      </c>
      <c r="D7" s="63" t="s">
        <v>458</v>
      </c>
      <c r="E7" s="63" t="s">
        <v>458</v>
      </c>
    </row>
    <row r="8" spans="1:16" x14ac:dyDescent="0.3">
      <c r="B8" s="58"/>
    </row>
    <row r="9" spans="1:16" x14ac:dyDescent="0.3">
      <c r="A9" s="2" t="str">
        <f>CONCATENATE("Table 70. College Enrollment Rates in the First Fall after High School Graduation for Classes ",A11," and ",A12,", Student-Weighted Totals")</f>
        <v>Table 70. College Enrollment Rates in the First Fall after High School Graduation for Classes 2022 and 2023, Student-Weighted Totals</v>
      </c>
      <c r="B9" s="58"/>
    </row>
    <row r="10" spans="1:16" ht="28.8" x14ac:dyDescent="0.3">
      <c r="A10" s="59"/>
      <c r="B10" s="60" t="s">
        <v>438</v>
      </c>
      <c r="C10" s="61" t="s">
        <v>439</v>
      </c>
      <c r="D10" s="61" t="s">
        <v>105</v>
      </c>
      <c r="E10" s="61" t="s">
        <v>106</v>
      </c>
      <c r="F10" s="61" t="s">
        <v>440</v>
      </c>
      <c r="G10" s="61" t="s">
        <v>441</v>
      </c>
      <c r="H10" s="61" t="s">
        <v>442</v>
      </c>
      <c r="I10" s="61" t="s">
        <v>443</v>
      </c>
    </row>
    <row r="11" spans="1:16" x14ac:dyDescent="0.3">
      <c r="A11" s="62">
        <v>2022</v>
      </c>
      <c r="B11" s="78">
        <v>22841</v>
      </c>
      <c r="C11" s="11">
        <v>0.82754695503699482</v>
      </c>
      <c r="D11" s="11">
        <v>0.49800796812749004</v>
      </c>
      <c r="E11" s="11">
        <v>0.32953898690950484</v>
      </c>
      <c r="F11" s="11">
        <v>8.4453395210367321E-2</v>
      </c>
      <c r="G11" s="11">
        <v>0.7430935598266275</v>
      </c>
      <c r="H11" s="11">
        <v>0.47020708375290049</v>
      </c>
      <c r="I11" s="11">
        <v>0.35733987128409439</v>
      </c>
    </row>
    <row r="12" spans="1:16" x14ac:dyDescent="0.3">
      <c r="A12" s="62">
        <v>2023</v>
      </c>
      <c r="B12" s="78">
        <v>19814</v>
      </c>
      <c r="C12" s="63" t="s">
        <v>458</v>
      </c>
      <c r="D12" s="63" t="s">
        <v>458</v>
      </c>
      <c r="E12" s="63" t="s">
        <v>458</v>
      </c>
      <c r="F12" s="63" t="s">
        <v>458</v>
      </c>
      <c r="G12" s="63" t="s">
        <v>458</v>
      </c>
      <c r="H12" s="63" t="s">
        <v>458</v>
      </c>
      <c r="I12" s="63" t="s">
        <v>458</v>
      </c>
    </row>
    <row r="14" spans="1:16" x14ac:dyDescent="0.3">
      <c r="A14">
        <v>2022</v>
      </c>
    </row>
    <row r="15" spans="1:16" x14ac:dyDescent="0.3">
      <c r="A15">
        <v>2023</v>
      </c>
    </row>
    <row r="17" spans="1:1" x14ac:dyDescent="0.3">
      <c r="A17">
        <v>2022</v>
      </c>
    </row>
    <row r="18" spans="1:1" x14ac:dyDescent="0.3">
      <c r="A18">
        <v>2023</v>
      </c>
    </row>
    <row r="33" spans="1:9" x14ac:dyDescent="0.3">
      <c r="A33" s="65" t="str">
        <f>CONCATENATE("Table 71. College Enrollment Rates in the First Year after High School Graduation for Classes ",A35," and ",A36,", School Percentile Distribution")</f>
        <v>Table 71. College Enrollment Rates in the First Year after High School Graduation for Classes 2021 and 2022, School Percentile Distribution</v>
      </c>
      <c r="B33" s="58"/>
    </row>
    <row r="34" spans="1:9" ht="28.8" x14ac:dyDescent="0.3">
      <c r="A34" s="59"/>
      <c r="B34" s="60" t="s">
        <v>434</v>
      </c>
      <c r="C34" s="60" t="s">
        <v>435</v>
      </c>
      <c r="D34" s="60" t="s">
        <v>436</v>
      </c>
      <c r="E34" s="60" t="s">
        <v>437</v>
      </c>
    </row>
    <row r="35" spans="1:9" x14ac:dyDescent="0.3">
      <c r="A35" s="62">
        <v>2021</v>
      </c>
      <c r="B35" s="78">
        <v>209</v>
      </c>
      <c r="C35" s="11">
        <v>0.75362318840579712</v>
      </c>
      <c r="D35" s="11">
        <v>0.86309523809523814</v>
      </c>
      <c r="E35" s="11">
        <v>0.91851851851851851</v>
      </c>
    </row>
    <row r="36" spans="1:9" x14ac:dyDescent="0.3">
      <c r="A36" s="62">
        <v>2022</v>
      </c>
      <c r="B36" s="78">
        <v>195</v>
      </c>
      <c r="C36" s="11">
        <v>0.75</v>
      </c>
      <c r="D36" s="11">
        <v>0.8571428571428571</v>
      </c>
      <c r="E36" s="11">
        <v>0.91666666666666663</v>
      </c>
    </row>
    <row r="37" spans="1:9" x14ac:dyDescent="0.3">
      <c r="B37" s="58"/>
    </row>
    <row r="38" spans="1:9" x14ac:dyDescent="0.3">
      <c r="A38" s="65" t="str">
        <f>CONCATENATE("Table 72. College Enrollment Rates in the First Year after High School Graduation for Classes ",A40," and ",A41,", Student-Weighted Totals")</f>
        <v>Table 72. College Enrollment Rates in the First Year after High School Graduation for Classes 2021 and 2022, Student-Weighted Totals</v>
      </c>
      <c r="B38" s="58"/>
    </row>
    <row r="39" spans="1:9" ht="28.8" x14ac:dyDescent="0.3">
      <c r="A39" s="59"/>
      <c r="B39" s="60" t="s">
        <v>438</v>
      </c>
      <c r="C39" s="61" t="s">
        <v>439</v>
      </c>
      <c r="D39" s="61" t="s">
        <v>105</v>
      </c>
      <c r="E39" s="61" t="s">
        <v>106</v>
      </c>
      <c r="F39" s="61" t="s">
        <v>440</v>
      </c>
      <c r="G39" s="61" t="s">
        <v>441</v>
      </c>
      <c r="H39" s="61" t="s">
        <v>442</v>
      </c>
      <c r="I39" s="61" t="s">
        <v>443</v>
      </c>
    </row>
    <row r="40" spans="1:9" x14ac:dyDescent="0.3">
      <c r="A40" s="62">
        <v>2021</v>
      </c>
      <c r="B40" s="78">
        <v>25343</v>
      </c>
      <c r="C40" s="11">
        <v>0.85076747030738276</v>
      </c>
      <c r="D40" s="11">
        <v>0.50538610267134909</v>
      </c>
      <c r="E40" s="11">
        <v>0.34538136763603361</v>
      </c>
      <c r="F40" s="11">
        <v>8.4678214891686074E-2</v>
      </c>
      <c r="G40" s="11">
        <v>0.76604979678806773</v>
      </c>
      <c r="H40" s="11">
        <v>0.48762972023833012</v>
      </c>
      <c r="I40" s="11">
        <v>0.36313775006905302</v>
      </c>
    </row>
    <row r="41" spans="1:9" x14ac:dyDescent="0.3">
      <c r="A41" s="62">
        <v>2022</v>
      </c>
      <c r="B41" s="78">
        <v>22841</v>
      </c>
      <c r="C41" s="11">
        <v>0.84584737971192159</v>
      </c>
      <c r="D41" s="11">
        <v>0.50925966463815064</v>
      </c>
      <c r="E41" s="11">
        <v>0.33658771507377083</v>
      </c>
      <c r="F41" s="11">
        <v>8.8612582636487025E-2</v>
      </c>
      <c r="G41" s="11">
        <v>0.75723479707543451</v>
      </c>
      <c r="H41" s="11">
        <v>0.48097719014053675</v>
      </c>
      <c r="I41" s="11">
        <v>0.36487018957138478</v>
      </c>
    </row>
    <row r="43" spans="1:9" x14ac:dyDescent="0.3">
      <c r="A43">
        <v>2021</v>
      </c>
    </row>
    <row r="44" spans="1:9" x14ac:dyDescent="0.3">
      <c r="A44">
        <v>2022</v>
      </c>
    </row>
    <row r="46" spans="1:9" x14ac:dyDescent="0.3">
      <c r="A46">
        <v>2021</v>
      </c>
    </row>
    <row r="47" spans="1:9" x14ac:dyDescent="0.3">
      <c r="A47">
        <v>2022</v>
      </c>
    </row>
    <row r="63" spans="1:5" x14ac:dyDescent="0.3">
      <c r="A63" s="65" t="str">
        <f>CONCATENATE("Table 73. College Enrollment Rates in the First Two Years after High School Graduation for Classes ",A65," and ",A66,", School Percentile Distribution")</f>
        <v>Table 73. College Enrollment Rates in the First Two Years after High School Graduation for Classes 2020 and 2021, School Percentile Distribution</v>
      </c>
      <c r="B63" s="58"/>
    </row>
    <row r="64" spans="1:5" ht="28.8" x14ac:dyDescent="0.3">
      <c r="A64" s="59"/>
      <c r="B64" s="60" t="s">
        <v>434</v>
      </c>
      <c r="C64" s="61" t="s">
        <v>435</v>
      </c>
      <c r="D64" s="61" t="s">
        <v>436</v>
      </c>
      <c r="E64" s="61" t="s">
        <v>437</v>
      </c>
    </row>
    <row r="65" spans="1:9" x14ac:dyDescent="0.3">
      <c r="A65" s="62">
        <v>2020</v>
      </c>
      <c r="B65" s="78">
        <v>301</v>
      </c>
      <c r="C65" s="11">
        <v>0.82857142857142863</v>
      </c>
      <c r="D65" s="11">
        <v>0.89655172413793105</v>
      </c>
      <c r="E65" s="11">
        <v>0.94117647058823528</v>
      </c>
    </row>
    <row r="66" spans="1:9" x14ac:dyDescent="0.3">
      <c r="A66" s="62">
        <v>2021</v>
      </c>
      <c r="B66" s="78">
        <v>209</v>
      </c>
      <c r="C66" s="11">
        <v>0.8035714285714286</v>
      </c>
      <c r="D66" s="11">
        <v>0.89411764705882357</v>
      </c>
      <c r="E66" s="11">
        <v>0.94117647058823528</v>
      </c>
    </row>
    <row r="67" spans="1:9" x14ac:dyDescent="0.3">
      <c r="B67" s="58"/>
    </row>
    <row r="68" spans="1:9" x14ac:dyDescent="0.3">
      <c r="A68" s="65" t="str">
        <f>CONCATENATE("Table 74. College Enrollment Rates in the First Two Years after High School Graduation for Classes ",A70," and ",A71,", Student-Weighted Totals")</f>
        <v>Table 74. College Enrollment Rates in the First Two Years after High School Graduation for Classes 2020 and 2021, Student-Weighted Totals</v>
      </c>
      <c r="B68" s="58"/>
    </row>
    <row r="69" spans="1:9" ht="28.8" x14ac:dyDescent="0.3">
      <c r="A69" s="59"/>
      <c r="B69" s="60" t="s">
        <v>438</v>
      </c>
      <c r="C69" s="61" t="s">
        <v>439</v>
      </c>
      <c r="D69" s="61" t="s">
        <v>105</v>
      </c>
      <c r="E69" s="61" t="s">
        <v>106</v>
      </c>
      <c r="F69" s="61" t="s">
        <v>440</v>
      </c>
      <c r="G69" s="61" t="s">
        <v>441</v>
      </c>
      <c r="H69" s="61" t="s">
        <v>442</v>
      </c>
      <c r="I69" s="61" t="s">
        <v>443</v>
      </c>
    </row>
    <row r="70" spans="1:9" x14ac:dyDescent="0.3">
      <c r="A70" s="62">
        <v>2020</v>
      </c>
      <c r="B70" s="78">
        <v>35741</v>
      </c>
      <c r="C70" s="11">
        <v>0.88299152234128875</v>
      </c>
      <c r="D70" s="11">
        <v>0.50989060182983126</v>
      </c>
      <c r="E70" s="11">
        <v>0.37310092051145743</v>
      </c>
      <c r="F70" s="11">
        <v>9.5716404129710983E-2</v>
      </c>
      <c r="G70" s="11">
        <v>0.78716320192496014</v>
      </c>
      <c r="H70" s="11">
        <v>0.50919112503847119</v>
      </c>
      <c r="I70" s="11">
        <v>0.3738003973028175</v>
      </c>
    </row>
    <row r="71" spans="1:9" x14ac:dyDescent="0.3">
      <c r="A71" s="62">
        <v>2021</v>
      </c>
      <c r="B71" s="78">
        <v>25343</v>
      </c>
      <c r="C71" s="11">
        <v>0.87495560904391745</v>
      </c>
      <c r="D71" s="11">
        <v>0.52120901235055039</v>
      </c>
      <c r="E71" s="11">
        <v>0.353746596693367</v>
      </c>
      <c r="F71" s="11">
        <v>9.304344394901945E-2</v>
      </c>
      <c r="G71" s="11">
        <v>0.78187270646726903</v>
      </c>
      <c r="H71" s="11">
        <v>0.50069052598350627</v>
      </c>
      <c r="I71" s="11">
        <v>0.37426508306041117</v>
      </c>
    </row>
    <row r="73" spans="1:9" x14ac:dyDescent="0.3">
      <c r="A73">
        <v>2020</v>
      </c>
    </row>
    <row r="74" spans="1:9" x14ac:dyDescent="0.3">
      <c r="A74">
        <v>2021</v>
      </c>
    </row>
    <row r="76" spans="1:9" x14ac:dyDescent="0.3">
      <c r="A76">
        <v>2020</v>
      </c>
    </row>
    <row r="77" spans="1:9" x14ac:dyDescent="0.3">
      <c r="A77">
        <v>2021</v>
      </c>
    </row>
    <row r="92" spans="1:5" x14ac:dyDescent="0.3">
      <c r="A92" s="65" t="str">
        <f>CONCATENATE("Table 75. Persistence Rates from First to Second Year of College for Class of ",A94," and ",A95,", School Percentile Distribution")</f>
        <v>Table 75. Persistence Rates from First to Second Year of College for Class of 2020 and 2021, School Percentile Distribution</v>
      </c>
      <c r="B92" s="58"/>
    </row>
    <row r="93" spans="1:5" ht="28.8" x14ac:dyDescent="0.3">
      <c r="A93" s="59"/>
      <c r="B93" s="60" t="s">
        <v>434</v>
      </c>
      <c r="C93" s="61" t="s">
        <v>435</v>
      </c>
      <c r="D93" s="61" t="s">
        <v>436</v>
      </c>
      <c r="E93" s="61" t="s">
        <v>437</v>
      </c>
    </row>
    <row r="94" spans="1:5" x14ac:dyDescent="0.3">
      <c r="A94" s="62">
        <v>2020</v>
      </c>
      <c r="B94" s="78">
        <v>301</v>
      </c>
      <c r="C94" s="11">
        <v>0.8529411764705882</v>
      </c>
      <c r="D94" s="11">
        <v>0.92567567567567566</v>
      </c>
      <c r="E94" s="11">
        <v>0.96453900709219853</v>
      </c>
    </row>
    <row r="95" spans="1:5" x14ac:dyDescent="0.3">
      <c r="A95" s="62">
        <v>2021</v>
      </c>
      <c r="B95" s="78">
        <v>209</v>
      </c>
      <c r="C95" s="11">
        <v>0.85964912280701755</v>
      </c>
      <c r="D95" s="11">
        <v>0.9285714285714286</v>
      </c>
      <c r="E95" s="11">
        <v>0.96685082872928174</v>
      </c>
    </row>
    <row r="96" spans="1:5" x14ac:dyDescent="0.3">
      <c r="B96" s="58"/>
    </row>
    <row r="97" spans="1:9" x14ac:dyDescent="0.3">
      <c r="B97" s="58"/>
    </row>
    <row r="98" spans="1:9" x14ac:dyDescent="0.3">
      <c r="A98" s="65" t="str">
        <f>CONCATENATE("Table 76. Persistence Rates from First to Second Year of College for Class of ",A100," and ",A101,", Student-Weighted Totals")</f>
        <v>Table 76. Persistence Rates from First to Second Year of College for Class of 2020 and 2021, Student-Weighted Totals</v>
      </c>
      <c r="B98" s="58"/>
    </row>
    <row r="99" spans="1:9" ht="43.2" x14ac:dyDescent="0.3">
      <c r="A99" s="59"/>
      <c r="B99" s="60" t="s">
        <v>444</v>
      </c>
      <c r="C99" s="61" t="s">
        <v>439</v>
      </c>
      <c r="D99" s="61" t="s">
        <v>105</v>
      </c>
      <c r="E99" s="61" t="s">
        <v>106</v>
      </c>
      <c r="F99" s="61" t="s">
        <v>440</v>
      </c>
      <c r="G99" s="61" t="s">
        <v>441</v>
      </c>
      <c r="H99" s="61" t="s">
        <v>442</v>
      </c>
      <c r="I99" s="61" t="s">
        <v>443</v>
      </c>
    </row>
    <row r="100" spans="1:9" x14ac:dyDescent="0.3">
      <c r="A100" s="62">
        <v>2020</v>
      </c>
      <c r="B100" s="78">
        <v>30570</v>
      </c>
      <c r="C100" s="11">
        <v>0.91890742558063465</v>
      </c>
      <c r="D100" s="11">
        <v>0.89932011331444761</v>
      </c>
      <c r="E100" s="11">
        <v>0.94566563467492259</v>
      </c>
      <c r="F100" s="11">
        <v>0.74585459183673475</v>
      </c>
      <c r="G100" s="11">
        <v>0.93879187780248619</v>
      </c>
      <c r="H100" s="11">
        <v>0.89558640930127553</v>
      </c>
      <c r="I100" s="11">
        <v>0.95105820105820105</v>
      </c>
    </row>
    <row r="101" spans="1:9" x14ac:dyDescent="0.3">
      <c r="A101" s="62">
        <v>2021</v>
      </c>
      <c r="B101" s="78">
        <v>21561</v>
      </c>
      <c r="C101" s="11">
        <v>0.92106117527016373</v>
      </c>
      <c r="D101" s="11">
        <v>0.90170206121174268</v>
      </c>
      <c r="E101" s="11">
        <v>0.94938878098937507</v>
      </c>
      <c r="F101" s="11">
        <v>0.75069897483690584</v>
      </c>
      <c r="G101" s="11">
        <v>0.9399402493046255</v>
      </c>
      <c r="H101" s="11">
        <v>0.89747531963100824</v>
      </c>
      <c r="I101" s="11">
        <v>0.9527328045202651</v>
      </c>
    </row>
    <row r="103" spans="1:9" x14ac:dyDescent="0.3">
      <c r="A103">
        <v>2020</v>
      </c>
    </row>
    <row r="104" spans="1:9" x14ac:dyDescent="0.3">
      <c r="A104">
        <v>2021</v>
      </c>
    </row>
    <row r="106" spans="1:9" x14ac:dyDescent="0.3">
      <c r="A106">
        <v>2020</v>
      </c>
    </row>
    <row r="107" spans="1:9" x14ac:dyDescent="0.3">
      <c r="A107">
        <v>2021</v>
      </c>
    </row>
    <row r="122" spans="1:5" x14ac:dyDescent="0.3">
      <c r="A122" s="65" t="str">
        <f>CONCATENATE("Table 77. Six-Year Completion Rates for Class of ",,A124," and ",A125,", School Percentile Distribution")</f>
        <v>Table 77. Six-Year Completion Rates for Class of 2016 and 2017, School Percentile Distribution</v>
      </c>
      <c r="B122" s="58"/>
    </row>
    <row r="123" spans="1:5" ht="28.8" x14ac:dyDescent="0.3">
      <c r="A123" s="59"/>
      <c r="B123" s="60" t="s">
        <v>434</v>
      </c>
      <c r="C123" s="61" t="s">
        <v>435</v>
      </c>
      <c r="D123" s="61" t="s">
        <v>436</v>
      </c>
      <c r="E123" s="61" t="s">
        <v>437</v>
      </c>
    </row>
    <row r="124" spans="1:5" x14ac:dyDescent="0.3">
      <c r="A124" s="62">
        <v>2016</v>
      </c>
      <c r="B124" s="78">
        <v>311</v>
      </c>
      <c r="C124" s="11">
        <v>0.63461538461538458</v>
      </c>
      <c r="D124" s="11">
        <v>0.7289719626168224</v>
      </c>
      <c r="E124" s="11">
        <v>0.81578947368421051</v>
      </c>
    </row>
    <row r="125" spans="1:5" x14ac:dyDescent="0.3">
      <c r="A125" s="62">
        <v>2017</v>
      </c>
      <c r="B125" s="78">
        <v>319</v>
      </c>
      <c r="C125" s="11">
        <v>0.6</v>
      </c>
      <c r="D125" s="11">
        <v>0.71739130434782605</v>
      </c>
      <c r="E125" s="11">
        <v>0.81412639405204457</v>
      </c>
    </row>
    <row r="126" spans="1:5" x14ac:dyDescent="0.3">
      <c r="A126" s="73"/>
      <c r="B126" s="74"/>
      <c r="C126" s="76"/>
      <c r="D126" s="76"/>
      <c r="E126" s="76"/>
    </row>
    <row r="127" spans="1:5" x14ac:dyDescent="0.3">
      <c r="B127" s="58"/>
    </row>
    <row r="128" spans="1:5" x14ac:dyDescent="0.3">
      <c r="A128" s="65" t="str">
        <f>CONCATENATE("Table 78. Six-Year Completion Rates for Class of ",A130," and ",A131, ", Student-Weighted Totals")</f>
        <v>Table 78. Six-Year Completion Rates for Class of 2016 and 2017, Student-Weighted Totals</v>
      </c>
      <c r="B128" s="58"/>
    </row>
    <row r="129" spans="1:9" ht="28.8" x14ac:dyDescent="0.3">
      <c r="A129" s="59"/>
      <c r="B129" s="60" t="s">
        <v>438</v>
      </c>
      <c r="C129" s="61" t="s">
        <v>439</v>
      </c>
      <c r="D129" s="61" t="s">
        <v>105</v>
      </c>
      <c r="E129" s="61" t="s">
        <v>106</v>
      </c>
      <c r="F129" s="61" t="s">
        <v>440</v>
      </c>
      <c r="G129" s="61" t="s">
        <v>441</v>
      </c>
      <c r="H129" s="61" t="s">
        <v>442</v>
      </c>
      <c r="I129" s="61" t="s">
        <v>443</v>
      </c>
    </row>
    <row r="130" spans="1:9" x14ac:dyDescent="0.3">
      <c r="A130" s="62">
        <v>2016</v>
      </c>
      <c r="B130" s="78">
        <v>40661</v>
      </c>
      <c r="C130" s="11">
        <v>0.70782813998671945</v>
      </c>
      <c r="D130" s="11">
        <v>0.38604559651754755</v>
      </c>
      <c r="E130" s="11">
        <v>0.32178254346917196</v>
      </c>
      <c r="F130" s="11">
        <v>4.6309731683923168E-2</v>
      </c>
      <c r="G130" s="11">
        <v>0.66142003393915549</v>
      </c>
      <c r="H130" s="11">
        <v>0.40146577801824845</v>
      </c>
      <c r="I130" s="11">
        <v>0.306362361968471</v>
      </c>
    </row>
    <row r="131" spans="1:9" x14ac:dyDescent="0.3">
      <c r="A131" s="62">
        <v>2017</v>
      </c>
      <c r="B131" s="78">
        <v>40978</v>
      </c>
      <c r="C131" s="11">
        <v>0.70986871003953345</v>
      </c>
      <c r="D131" s="11">
        <v>0.38598760310410463</v>
      </c>
      <c r="E131" s="11">
        <v>0.32388110693542876</v>
      </c>
      <c r="F131" s="11">
        <v>4.3999219093171948E-2</v>
      </c>
      <c r="G131" s="11">
        <v>0.665747474254478</v>
      </c>
      <c r="H131" s="11">
        <v>0.39992190931719457</v>
      </c>
      <c r="I131" s="11">
        <v>0.30994680072233882</v>
      </c>
    </row>
    <row r="133" spans="1:9" x14ac:dyDescent="0.3">
      <c r="A133">
        <v>2016</v>
      </c>
    </row>
    <row r="134" spans="1:9" x14ac:dyDescent="0.3">
      <c r="A134">
        <v>2017</v>
      </c>
    </row>
    <row r="136" spans="1:9" x14ac:dyDescent="0.3">
      <c r="A136">
        <v>2016</v>
      </c>
    </row>
    <row r="137" spans="1:9" x14ac:dyDescent="0.3">
      <c r="A137">
        <v>2017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DCB90E14FB264DB6503D6A84AEC64F" ma:contentTypeVersion="19" ma:contentTypeDescription="Create a new document." ma:contentTypeScope="" ma:versionID="311f91a6d3799562be8a4117e85acd24">
  <xsd:schema xmlns:xsd="http://www.w3.org/2001/XMLSchema" xmlns:xs="http://www.w3.org/2001/XMLSchema" xmlns:p="http://schemas.microsoft.com/office/2006/metadata/properties" xmlns:ns1="http://schemas.microsoft.com/sharepoint/v3" xmlns:ns2="d339d5ed-4b9c-4f39-b600-367bc72b8aa2" xmlns:ns3="f996994f-c7f3-4d4f-bc5f-c25091af035b" targetNamespace="http://schemas.microsoft.com/office/2006/metadata/properties" ma:root="true" ma:fieldsID="3fc9f872f4eb01903b2663d292ade40b" ns1:_="" ns2:_="" ns3:_="">
    <xsd:import namespace="http://schemas.microsoft.com/sharepoint/v3"/>
    <xsd:import namespace="d339d5ed-4b9c-4f39-b600-367bc72b8aa2"/>
    <xsd:import namespace="f996994f-c7f3-4d4f-bc5f-c25091af03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39d5ed-4b9c-4f39-b600-367bc72b8a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f54ee82-8af7-4db5-bda0-11c9b8bb07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96994f-c7f3-4d4f-bc5f-c25091af035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87b83e2-822e-47ca-9352-b3068bc4914a}" ma:internalName="TaxCatchAll" ma:showField="CatchAllData" ma:web="f996994f-c7f3-4d4f-bc5f-c25091af03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339d5ed-4b9c-4f39-b600-367bc72b8aa2">
      <Terms xmlns="http://schemas.microsoft.com/office/infopath/2007/PartnerControls"/>
    </lcf76f155ced4ddcb4097134ff3c332f>
    <TaxCatchAll xmlns="f996994f-c7f3-4d4f-bc5f-c25091af035b" xsi:nil="true"/>
  </documentManagement>
</p:properties>
</file>

<file path=customXml/itemProps1.xml><?xml version="1.0" encoding="utf-8"?>
<ds:datastoreItem xmlns:ds="http://schemas.openxmlformats.org/officeDocument/2006/customXml" ds:itemID="{A5AFE63A-E138-4D64-BEA7-AB68FC9AB5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339d5ed-4b9c-4f39-b600-367bc72b8aa2"/>
    <ds:schemaRef ds:uri="f996994f-c7f3-4d4f-bc5f-c25091af03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1F6625-A767-48C5-8028-E36002CDD1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D341A8-FAFF-4AA0-B133-20AE09D1B8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List of Tables</vt:lpstr>
      <vt:lpstr>1 Public Non-Charter Overall</vt:lpstr>
      <vt:lpstr>2 Public Non-Charter Majors</vt:lpstr>
      <vt:lpstr>3 Public Non-Charter Poverty</vt:lpstr>
      <vt:lpstr>4 Public Non-Charter Income</vt:lpstr>
      <vt:lpstr>5 Public Non-Charter Minority</vt:lpstr>
      <vt:lpstr>6 Public Non-Charter Urbanicity</vt:lpstr>
      <vt:lpstr>7 Public Charter Schools</vt:lpstr>
      <vt:lpstr>8 Private Schools</vt:lpstr>
      <vt:lpstr>9 Income Differences</vt:lpstr>
      <vt:lpstr>10 Poverty Differences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Causey</dc:creator>
  <cp:keywords/>
  <dc:description/>
  <cp:lastModifiedBy>Sarah Karamarkovich</cp:lastModifiedBy>
  <cp:revision/>
  <dcterms:created xsi:type="dcterms:W3CDTF">2024-08-22T15:31:38Z</dcterms:created>
  <dcterms:modified xsi:type="dcterms:W3CDTF">2024-09-03T21:13:50Z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</Properties>
</file>