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mc:AlternateContent xmlns:mc="http://schemas.openxmlformats.org/markup-compatibility/2006">
    <mc:Choice Requires="x15">
      <x15ac:absPath xmlns:x15ac="http://schemas.microsoft.com/office/spreadsheetml/2010/11/ac" url="https://studentclearinghouse.sharepoint.com/sites/ResearchServicesfromZdrive/Shared Documents/Research Services/PUBLICATIONS/HS Benchmarks/2026/"/>
    </mc:Choice>
  </mc:AlternateContent>
  <xr:revisionPtr revIDLastSave="4160" documentId="8_{CD1B642F-540D-4996-B24C-2B94415F33DF}" xr6:coauthVersionLast="47" xr6:coauthVersionMax="47" xr10:uidLastSave="{64C6E3F8-FE68-448D-9767-55281BF21353}"/>
  <bookViews>
    <workbookView xWindow="-108" yWindow="-108" windowWidth="23256" windowHeight="13896" tabRatio="801" xr2:uid="{DF526A1E-D271-4D69-98D1-98548A85F9F7}"/>
  </bookViews>
  <sheets>
    <sheet name="List of Tables" sheetId="18" r:id="rId1"/>
    <sheet name="1 Public Non-Charter Overall" sheetId="2" r:id="rId2"/>
    <sheet name="2 Public Non-Charter Majors" sheetId="3" r:id="rId3"/>
    <sheet name="3 Public Non-Charter Poverty" sheetId="4" r:id="rId4"/>
    <sheet name="4 Public Non-Charter Income" sheetId="12" r:id="rId5"/>
    <sheet name="5 Public Non-Charter Minority" sheetId="11" r:id="rId6"/>
    <sheet name="6 Public Non-Charter Urbanicity" sheetId="13" r:id="rId7"/>
    <sheet name="7 Public Charter Schools" sheetId="14" r:id="rId8"/>
    <sheet name="8 Private Schools" sheetId="15" r:id="rId9"/>
    <sheet name="9 Income Trend Adjustment" sheetId="10" r:id="rId10"/>
    <sheet name="10 Poverty Trend Adjustment" sheetId="17"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3" i="18" l="1"/>
  <c r="B92" i="18"/>
  <c r="B88" i="18"/>
  <c r="B87" i="18"/>
  <c r="B86" i="18"/>
  <c r="B85" i="18"/>
  <c r="B84" i="18"/>
  <c r="M5" i="17"/>
  <c r="A5" i="17"/>
  <c r="B89" i="18" s="1"/>
  <c r="B91" i="18"/>
  <c r="B90" i="18"/>
  <c r="B83" i="18"/>
  <c r="B76" i="18"/>
  <c r="B69" i="18"/>
  <c r="B68" i="18"/>
  <c r="B67" i="18"/>
  <c r="B61" i="18"/>
  <c r="B60" i="18"/>
  <c r="B59" i="18"/>
  <c r="B58" i="18"/>
  <c r="B52" i="18"/>
  <c r="B34" i="18"/>
  <c r="B21" i="18"/>
  <c r="B20" i="18"/>
  <c r="B19" i="18"/>
  <c r="B18" i="18"/>
  <c r="B17" i="18"/>
  <c r="B16" i="18"/>
  <c r="B15" i="18"/>
  <c r="B14" i="18"/>
  <c r="B13" i="18"/>
  <c r="B12" i="18"/>
  <c r="B11" i="18"/>
  <c r="B10" i="18"/>
  <c r="B9" i="18"/>
  <c r="B8" i="18"/>
  <c r="B7" i="18"/>
  <c r="B6" i="18"/>
  <c r="B5" i="18"/>
  <c r="B4" i="18"/>
  <c r="M5" i="10"/>
  <c r="A5" i="10"/>
  <c r="B82" i="18" s="1"/>
  <c r="A9" i="15"/>
  <c r="B73" i="18" s="1"/>
  <c r="A9" i="11"/>
  <c r="B43" i="18" s="1"/>
  <c r="A4" i="14"/>
  <c r="B62" i="18" s="1"/>
  <c r="AA53" i="13"/>
  <c r="AA48" i="13"/>
  <c r="AA42" i="13"/>
  <c r="AA37" i="13"/>
  <c r="AA31" i="13"/>
  <c r="AA26" i="13"/>
  <c r="AA20" i="13"/>
  <c r="AA15" i="13"/>
  <c r="AA9" i="13"/>
  <c r="AA4" i="13"/>
  <c r="N4" i="13"/>
  <c r="N9" i="13"/>
  <c r="N15" i="13"/>
  <c r="N20" i="13"/>
  <c r="N26" i="13"/>
  <c r="A53" i="15"/>
  <c r="B81" i="18" s="1"/>
  <c r="N31" i="13"/>
  <c r="A48" i="15"/>
  <c r="B80" i="18" s="1"/>
  <c r="N37" i="13"/>
  <c r="A42" i="15"/>
  <c r="B79" i="18" s="1"/>
  <c r="N42" i="13"/>
  <c r="A37" i="15"/>
  <c r="B78" i="18" s="1"/>
  <c r="N48" i="13"/>
  <c r="A31" i="15"/>
  <c r="B77" i="18" s="1"/>
  <c r="N53" i="13"/>
  <c r="A26" i="15"/>
  <c r="A53" i="13"/>
  <c r="A48" i="13"/>
  <c r="A20" i="15"/>
  <c r="B75" i="18" s="1"/>
  <c r="A15" i="15"/>
  <c r="B74" i="18" s="1"/>
  <c r="A42" i="13"/>
  <c r="A37" i="13"/>
  <c r="A4" i="15"/>
  <c r="B72" i="18" s="1"/>
  <c r="A31" i="13"/>
  <c r="B57" i="18" s="1"/>
  <c r="A26" i="13"/>
  <c r="B56" i="18" s="1"/>
  <c r="A20" i="13"/>
  <c r="B55" i="18" s="1"/>
  <c r="A15" i="13"/>
  <c r="B54" i="18" s="1"/>
  <c r="A9" i="13"/>
  <c r="B53" i="18" s="1"/>
  <c r="A4" i="13"/>
  <c r="A53" i="14"/>
  <c r="B71" i="18" s="1"/>
  <c r="A48" i="14"/>
  <c r="B70" i="18" s="1"/>
  <c r="A42" i="14"/>
  <c r="A37" i="14"/>
  <c r="A31" i="14"/>
  <c r="A26" i="14"/>
  <c r="B66" i="18" s="1"/>
  <c r="A20" i="14"/>
  <c r="B65" i="18" s="1"/>
  <c r="A15" i="14"/>
  <c r="B64" i="18" s="1"/>
  <c r="A9" i="14"/>
  <c r="B63" i="18" s="1"/>
  <c r="N53" i="12"/>
  <c r="A53" i="12"/>
  <c r="B41" i="18" s="1"/>
  <c r="N48" i="12"/>
  <c r="A48" i="12"/>
  <c r="B40" i="18" s="1"/>
  <c r="N42" i="12"/>
  <c r="A42" i="12"/>
  <c r="B39" i="18" s="1"/>
  <c r="N37" i="12"/>
  <c r="A37" i="12"/>
  <c r="B38" i="18" s="1"/>
  <c r="A31" i="12"/>
  <c r="B37" i="18" s="1"/>
  <c r="N31" i="12"/>
  <c r="N26" i="12"/>
  <c r="A26" i="12"/>
  <c r="B36" i="18" s="1"/>
  <c r="N20" i="12"/>
  <c r="N15" i="12"/>
  <c r="A20" i="12"/>
  <c r="B35" i="18" s="1"/>
  <c r="A15" i="12"/>
  <c r="N9" i="12"/>
  <c r="A9" i="12"/>
  <c r="B33" i="18" s="1"/>
  <c r="N4" i="12"/>
  <c r="A4" i="12"/>
  <c r="B32" i="18" s="1"/>
  <c r="N53" i="11"/>
  <c r="A53" i="11"/>
  <c r="B51" i="18" s="1"/>
  <c r="N48" i="11"/>
  <c r="A48" i="11"/>
  <c r="B50" i="18" s="1"/>
  <c r="N42" i="11"/>
  <c r="A42" i="11"/>
  <c r="B49" i="18" s="1"/>
  <c r="N37" i="11"/>
  <c r="A37" i="11"/>
  <c r="B48" i="18" s="1"/>
  <c r="N31" i="11"/>
  <c r="A31" i="11"/>
  <c r="B47" i="18" s="1"/>
  <c r="N26" i="11"/>
  <c r="A26" i="11"/>
  <c r="B46" i="18" s="1"/>
  <c r="N20" i="11"/>
  <c r="A20" i="11"/>
  <c r="B45" i="18" s="1"/>
  <c r="N15" i="11"/>
  <c r="A15" i="11"/>
  <c r="B44" i="18" s="1"/>
  <c r="N9" i="11"/>
  <c r="N4" i="11"/>
  <c r="A4" i="11"/>
  <c r="B42" i="18" s="1"/>
  <c r="N42" i="4" l="1"/>
  <c r="N37" i="4"/>
  <c r="A42" i="4"/>
  <c r="B29" i="18" s="1"/>
  <c r="A37" i="4"/>
  <c r="B28" i="18" s="1"/>
  <c r="N48" i="4"/>
  <c r="N53" i="4"/>
  <c r="A48" i="4"/>
  <c r="B30" i="18" s="1"/>
  <c r="A53" i="4"/>
  <c r="B31" i="18" s="1"/>
  <c r="N31" i="4"/>
  <c r="N26" i="4"/>
  <c r="A31" i="4"/>
  <c r="B27" i="18" s="1"/>
  <c r="A26" i="4"/>
  <c r="B26" i="18" s="1"/>
  <c r="N20" i="4"/>
  <c r="N15" i="4"/>
  <c r="A20" i="4"/>
  <c r="B25" i="18" s="1"/>
  <c r="A15" i="4"/>
  <c r="B24" i="18" s="1"/>
  <c r="N9" i="4"/>
  <c r="N4" i="4"/>
  <c r="A9" i="4"/>
  <c r="B23" i="18" s="1"/>
  <c r="A4" i="4"/>
  <c r="B22" i="18" s="1"/>
</calcChain>
</file>

<file path=xl/sharedStrings.xml><?xml version="1.0" encoding="utf-8"?>
<sst xmlns="http://schemas.openxmlformats.org/spreadsheetml/2006/main" count="1808" uniqueCount="420">
  <si>
    <t>High School Benchmarks Report</t>
  </si>
  <si>
    <t>September 2026</t>
  </si>
  <si>
    <t>Tab</t>
  </si>
  <si>
    <t>List of Tables</t>
  </si>
  <si>
    <t>1 Public Non-Charter Overall</t>
  </si>
  <si>
    <t>2 Public Non-Charter Majors</t>
  </si>
  <si>
    <t>3 Public Non-Charter Poverty</t>
  </si>
  <si>
    <t>4 Public Non-Charter Income</t>
  </si>
  <si>
    <t>5 Public Non-Charter Minorirty</t>
  </si>
  <si>
    <t>6 Public Non-Charter Urbanicity</t>
  </si>
  <si>
    <t>7 Public Charter Schools</t>
  </si>
  <si>
    <t>8 Private Schools</t>
  </si>
  <si>
    <t>9 Income Trend Adjustment</t>
  </si>
  <si>
    <t>10 Poverty Trend Adjustment</t>
  </si>
  <si>
    <t>Enrollment, Persistence, and Completion Across High School and College Characteristics, Public Non-Charter High Schools</t>
  </si>
  <si>
    <t>Table 1. Rates of College Enrollment in the First Fall after High School Graduation for Class of 2025</t>
  </si>
  <si>
    <t>High-Poverty HS</t>
  </si>
  <si>
    <t>Low-Poverty HS</t>
  </si>
  <si>
    <t>Low-Income HS</t>
  </si>
  <si>
    <t>Higher-Income HS</t>
  </si>
  <si>
    <t>High-Minority HS</t>
  </si>
  <si>
    <t>Low-Minority HS</t>
  </si>
  <si>
    <t>Urban HS</t>
  </si>
  <si>
    <t>Suburban HS</t>
  </si>
  <si>
    <t>Rural HS</t>
  </si>
  <si>
    <t>Overall</t>
  </si>
  <si>
    <t>Four-Year</t>
  </si>
  <si>
    <t>Two-Year</t>
  </si>
  <si>
    <t>Public</t>
  </si>
  <si>
    <t>Private</t>
  </si>
  <si>
    <t>In-State</t>
  </si>
  <si>
    <t>Out-of-State</t>
  </si>
  <si>
    <t>Table 2. Rates of College Enrollment in the First Fall after High School Graduation for Class of 2024</t>
  </si>
  <si>
    <t>Table 3. Rates of College Enrollment in the First Year after High School Graduation for Class of 2024</t>
  </si>
  <si>
    <t>Table 4. Rates of College Enrollment in the First Year after High School Graduation for Class of 2023</t>
  </si>
  <si>
    <t>Table 5. Rates of College Enrollment in the First Two Years after High School Graduation for Class of 2023</t>
  </si>
  <si>
    <t>Table 6. Rates of College Enrollment in the First Two Years after High School Graduation for Class of 2022</t>
  </si>
  <si>
    <t>Table 7. Persistence Rates from First to Second Year of College for Class of 2023</t>
  </si>
  <si>
    <t>Table 8. Persistence Rates from First to Second Year of College for Class of 2022</t>
  </si>
  <si>
    <t>Table 9. Six-Year Completion Rates for Class of 2019</t>
  </si>
  <si>
    <t>Table 10. Six-Year Completion Rates for Class of 2018</t>
  </si>
  <si>
    <t>Table 11. Six-Year Completion Rates for Class of 2019, STEM</t>
  </si>
  <si>
    <t>Students with any completion</t>
  </si>
  <si>
    <t>Students with any completion in STEM</t>
  </si>
  <si>
    <t>Students with Bachelors degree</t>
  </si>
  <si>
    <t>Students with Bachelors degree in STEM</t>
  </si>
  <si>
    <t>Table 12. Six-Year STEM Completers by Field of Study, Class of 2019</t>
  </si>
  <si>
    <t>Biological and Agricultural Sciences</t>
  </si>
  <si>
    <t>Computer Science</t>
  </si>
  <si>
    <t>Earth Science</t>
  </si>
  <si>
    <t>Engineering</t>
  </si>
  <si>
    <t>Mathematics</t>
  </si>
  <si>
    <t>Physical Sciences</t>
  </si>
  <si>
    <t>Psychology</t>
  </si>
  <si>
    <t>Social Sciences</t>
  </si>
  <si>
    <t>Table 13. Rates of College Enrollment in the First Fall after High School Graduation for Class of 2025 by Income and Minority Levels</t>
  </si>
  <si>
    <t>Low Income, High Minority</t>
  </si>
  <si>
    <t>Low Income, Low Minority</t>
  </si>
  <si>
    <t>Higher Income, High Minority</t>
  </si>
  <si>
    <t>Higher Income, Low Minority</t>
  </si>
  <si>
    <t>Table 14. Persistence Rates from First to Second Year of College for Class of 2023 by Income and Minority Levels</t>
  </si>
  <si>
    <t>Table 15. Six-Year College Completion Rates for Class of 2019 by Income and Minority Levels</t>
  </si>
  <si>
    <t>Top Five Majors Across College Level, Public Non-Charter High Schools</t>
  </si>
  <si>
    <t>At Two-Year Colleges</t>
  </si>
  <si>
    <t>At Four-Year Colleges</t>
  </si>
  <si>
    <t>Table 16a. Top Five Majors for Students with First Fall Enrollment, Class of 2025</t>
  </si>
  <si>
    <t>Table 16b. Top Five Majors for Students with First Fall Enrollment, Class of 2025</t>
  </si>
  <si>
    <t>Major</t>
  </si>
  <si>
    <t>Count</t>
  </si>
  <si>
    <t>Share</t>
  </si>
  <si>
    <t>Liberal Arts and Sciences, General Studies and Humanities</t>
  </si>
  <si>
    <t>22,129</t>
  </si>
  <si>
    <t>18,390</t>
  </si>
  <si>
    <t>Health Professions and Related Clinical Sciences</t>
  </si>
  <si>
    <t>11,352</t>
  </si>
  <si>
    <t>Business, Management, Marketing, and Related Support</t>
  </si>
  <si>
    <t>16,397</t>
  </si>
  <si>
    <t>8,428</t>
  </si>
  <si>
    <t>13,737</t>
  </si>
  <si>
    <t>Mechanic and Repair Technologies/Technicians</t>
  </si>
  <si>
    <t>3,700</t>
  </si>
  <si>
    <t>Biological and Biomedical Sciences</t>
  </si>
  <si>
    <t>10,887</t>
  </si>
  <si>
    <t>Security and Protective Services</t>
  </si>
  <si>
    <t>3,495</t>
  </si>
  <si>
    <t>8,249</t>
  </si>
  <si>
    <t>18,364</t>
  </si>
  <si>
    <t>39,395</t>
  </si>
  <si>
    <t>6,325</t>
  </si>
  <si>
    <t>37,990</t>
  </si>
  <si>
    <t>4,253</t>
  </si>
  <si>
    <t>22,335</t>
  </si>
  <si>
    <t>1,739</t>
  </si>
  <si>
    <t>19,287</t>
  </si>
  <si>
    <t>Computer and Information Sciences and Support Services</t>
  </si>
  <si>
    <t>1,711</t>
  </si>
  <si>
    <t>18,197</t>
  </si>
  <si>
    <t>52,477</t>
  </si>
  <si>
    <t>44,835</t>
  </si>
  <si>
    <t>23,260</t>
  </si>
  <si>
    <t>36,419</t>
  </si>
  <si>
    <t>17,915</t>
  </si>
  <si>
    <t>31,227</t>
  </si>
  <si>
    <t>7,063</t>
  </si>
  <si>
    <t>25,452</t>
  </si>
  <si>
    <t>6,874</t>
  </si>
  <si>
    <t>20,790</t>
  </si>
  <si>
    <t>70,278</t>
  </si>
  <si>
    <t>93,447</t>
  </si>
  <si>
    <t>22,097</t>
  </si>
  <si>
    <t>91,865</t>
  </si>
  <si>
    <t>21,859</t>
  </si>
  <si>
    <t>55,602</t>
  </si>
  <si>
    <t>6,737</t>
  </si>
  <si>
    <t>55,316</t>
  </si>
  <si>
    <t>6,574</t>
  </si>
  <si>
    <t>52,463</t>
  </si>
  <si>
    <t>56,514</t>
  </si>
  <si>
    <t>53,437</t>
  </si>
  <si>
    <t>23,524</t>
  </si>
  <si>
    <t>43,971</t>
  </si>
  <si>
    <t>19,986</t>
  </si>
  <si>
    <t>34,491</t>
  </si>
  <si>
    <t>7,392</t>
  </si>
  <si>
    <t>30,946</t>
  </si>
  <si>
    <t>6,696</t>
  </si>
  <si>
    <t>26,157</t>
  </si>
  <si>
    <t>66,241</t>
  </si>
  <si>
    <t>85,895</t>
  </si>
  <si>
    <t>21,595</t>
  </si>
  <si>
    <t>83,263</t>
  </si>
  <si>
    <t>20,026</t>
  </si>
  <si>
    <t>52,338</t>
  </si>
  <si>
    <t>6,868</t>
  </si>
  <si>
    <t>49,949</t>
  </si>
  <si>
    <t>6,219</t>
  </si>
  <si>
    <t>46,969</t>
  </si>
  <si>
    <t>33,415</t>
  </si>
  <si>
    <t>43,598</t>
  </si>
  <si>
    <t>13,219</t>
  </si>
  <si>
    <t>36,492</t>
  </si>
  <si>
    <t>13,111</t>
  </si>
  <si>
    <t>23,831</t>
  </si>
  <si>
    <t>4,264</t>
  </si>
  <si>
    <t>23,535</t>
  </si>
  <si>
    <t>4,008</t>
  </si>
  <si>
    <t>23,335</t>
  </si>
  <si>
    <t>50,413</t>
  </si>
  <si>
    <t>64,352</t>
  </si>
  <si>
    <t>17,201</t>
  </si>
  <si>
    <t>63,782</t>
  </si>
  <si>
    <t>16,037</t>
  </si>
  <si>
    <t>37,194</t>
  </si>
  <si>
    <t>5,774</t>
  </si>
  <si>
    <t>36,285</t>
  </si>
  <si>
    <t>5,541</t>
  </si>
  <si>
    <t>36,279</t>
  </si>
  <si>
    <t>38,927</t>
  </si>
  <si>
    <t>29,592</t>
  </si>
  <si>
    <t>15,971</t>
  </si>
  <si>
    <t>28,750</t>
  </si>
  <si>
    <t>9,592</t>
  </si>
  <si>
    <t>25,804</t>
  </si>
  <si>
    <t>5,459</t>
  </si>
  <si>
    <t>18,101</t>
  </si>
  <si>
    <t>3,573</t>
  </si>
  <si>
    <t>16,486</t>
  </si>
  <si>
    <t>Table 17a. Top Five Majors for Students with First Year Persistence, Class of 2023</t>
  </si>
  <si>
    <t>Table 17b. Top Five Majors for Students with First Year Persistence, Class of 2023</t>
  </si>
  <si>
    <t>15,545</t>
  </si>
  <si>
    <t>14,832</t>
  </si>
  <si>
    <t>6,691</t>
  </si>
  <si>
    <t>11,635</t>
  </si>
  <si>
    <t>5,471</t>
  </si>
  <si>
    <t>10,021</t>
  </si>
  <si>
    <t>2,610</t>
  </si>
  <si>
    <t>8,297</t>
  </si>
  <si>
    <t>2,119</t>
  </si>
  <si>
    <t>5,940</t>
  </si>
  <si>
    <t>18,506</t>
  </si>
  <si>
    <t>45,191</t>
  </si>
  <si>
    <t>6,382</t>
  </si>
  <si>
    <t>41,225</t>
  </si>
  <si>
    <t>3,972</t>
  </si>
  <si>
    <t>23,276</t>
  </si>
  <si>
    <t>2,729</t>
  </si>
  <si>
    <t>20,371</t>
  </si>
  <si>
    <t>Visual and Performing Arts</t>
  </si>
  <si>
    <t>1,917</t>
  </si>
  <si>
    <t>18,093</t>
  </si>
  <si>
    <t>40,891</t>
  </si>
  <si>
    <t>43,026</t>
  </si>
  <si>
    <t>13,910</t>
  </si>
  <si>
    <t>29,923</t>
  </si>
  <si>
    <t>12,320</t>
  </si>
  <si>
    <t>25,142</t>
  </si>
  <si>
    <t>6,261</t>
  </si>
  <si>
    <t>21,934</t>
  </si>
  <si>
    <t>4,451</t>
  </si>
  <si>
    <t>16,317</t>
  </si>
  <si>
    <t>60,995</t>
  </si>
  <si>
    <t>105,067</t>
  </si>
  <si>
    <t>18,013</t>
  </si>
  <si>
    <t>88,259</t>
  </si>
  <si>
    <t>14,680</t>
  </si>
  <si>
    <t>51,017</t>
  </si>
  <si>
    <t>48,876</t>
  </si>
  <si>
    <t>5,530</t>
  </si>
  <si>
    <t>47,811</t>
  </si>
  <si>
    <t>42,503</t>
  </si>
  <si>
    <t>51,320</t>
  </si>
  <si>
    <t>13,858</t>
  </si>
  <si>
    <t>36,004</t>
  </si>
  <si>
    <t>13,707</t>
  </si>
  <si>
    <t>26,824</t>
  </si>
  <si>
    <t>7,104</t>
  </si>
  <si>
    <t>25,778</t>
  </si>
  <si>
    <t>4,925</t>
  </si>
  <si>
    <t>20,001</t>
  </si>
  <si>
    <t>59,383</t>
  </si>
  <si>
    <t>96,773</t>
  </si>
  <si>
    <t>16,475</t>
  </si>
  <si>
    <t>82,178</t>
  </si>
  <si>
    <t>14,883</t>
  </si>
  <si>
    <t>47,333</t>
  </si>
  <si>
    <t>7,406</t>
  </si>
  <si>
    <t>46,129</t>
  </si>
  <si>
    <t>4,979</t>
  </si>
  <si>
    <t>45,032</t>
  </si>
  <si>
    <t>25,934</t>
  </si>
  <si>
    <t>43,343</t>
  </si>
  <si>
    <t>9,500</t>
  </si>
  <si>
    <t>30,989</t>
  </si>
  <si>
    <t>7,975</t>
  </si>
  <si>
    <t>20,134</t>
  </si>
  <si>
    <t>4,483</t>
  </si>
  <si>
    <t>19,228</t>
  </si>
  <si>
    <t>3,520</t>
  </si>
  <si>
    <t>18,157</t>
  </si>
  <si>
    <t>42,974</t>
  </si>
  <si>
    <t>72,242</t>
  </si>
  <si>
    <t>13,096</t>
  </si>
  <si>
    <t>59,330</t>
  </si>
  <si>
    <t>10,426</t>
  </si>
  <si>
    <t>32,991</t>
  </si>
  <si>
    <t>6,767</t>
  </si>
  <si>
    <t>32,369</t>
  </si>
  <si>
    <t>4,355</t>
  </si>
  <si>
    <t>32,098</t>
  </si>
  <si>
    <t>32,978</t>
  </si>
  <si>
    <t>32,508</t>
  </si>
  <si>
    <t>10,189</t>
  </si>
  <si>
    <t>27,863</t>
  </si>
  <si>
    <t>7,737</t>
  </si>
  <si>
    <t>22,698</t>
  </si>
  <si>
    <t>3,688</t>
  </si>
  <si>
    <t>17,685</t>
  </si>
  <si>
    <t>3,260</t>
  </si>
  <si>
    <t>15,737</t>
  </si>
  <si>
    <t>Table 18a. Top Five Majors for Students with Completion within Six Years, Class of 2019</t>
  </si>
  <si>
    <t>Table 18b. Top Five Majors for Students with Completion within Six Years, Class of 2019</t>
  </si>
  <si>
    <t>9,099</t>
  </si>
  <si>
    <t>6,596</t>
  </si>
  <si>
    <t>3,882</t>
  </si>
  <si>
    <t>5,292</t>
  </si>
  <si>
    <t>2,274</t>
  </si>
  <si>
    <t>5,185</t>
  </si>
  <si>
    <t>1,348</t>
  </si>
  <si>
    <t>4,190</t>
  </si>
  <si>
    <t>Multi/Interdisciplinary Studies</t>
  </si>
  <si>
    <t>1,200</t>
  </si>
  <si>
    <t>3,740</t>
  </si>
  <si>
    <t>21,150</t>
  </si>
  <si>
    <t>57,426</t>
  </si>
  <si>
    <t>5,012</t>
  </si>
  <si>
    <t>26,457</t>
  </si>
  <si>
    <t>4,998</t>
  </si>
  <si>
    <t>25,252</t>
  </si>
  <si>
    <t>1,813</t>
  </si>
  <si>
    <t>24,928</t>
  </si>
  <si>
    <t>1,799</t>
  </si>
  <si>
    <t>18,518</t>
  </si>
  <si>
    <t>27,833</t>
  </si>
  <si>
    <t>21,697</t>
  </si>
  <si>
    <t>10,268</t>
  </si>
  <si>
    <t>16,415</t>
  </si>
  <si>
    <t>6,395</t>
  </si>
  <si>
    <t>15,656</t>
  </si>
  <si>
    <t>3,363</t>
  </si>
  <si>
    <t>12,845</t>
  </si>
  <si>
    <t>2,921</t>
  </si>
  <si>
    <t>11,901</t>
  </si>
  <si>
    <t>54,517</t>
  </si>
  <si>
    <t>101,133</t>
  </si>
  <si>
    <t>15,606</t>
  </si>
  <si>
    <t>52,723</t>
  </si>
  <si>
    <t>12,650</t>
  </si>
  <si>
    <t>50,040</t>
  </si>
  <si>
    <t>4,989</t>
  </si>
  <si>
    <t>43,750</t>
  </si>
  <si>
    <t>4,605</t>
  </si>
  <si>
    <t>35,255</t>
  </si>
  <si>
    <t>29,773</t>
  </si>
  <si>
    <t>29,037</t>
  </si>
  <si>
    <t>9,067</t>
  </si>
  <si>
    <t>19,911</t>
  </si>
  <si>
    <t>7,124</t>
  </si>
  <si>
    <t>19,434</t>
  </si>
  <si>
    <t>3,581</t>
  </si>
  <si>
    <t>17,592</t>
  </si>
  <si>
    <t>3,392</t>
  </si>
  <si>
    <t>15,245</t>
  </si>
  <si>
    <t>52,577</t>
  </si>
  <si>
    <t>93,793</t>
  </si>
  <si>
    <t>16,807</t>
  </si>
  <si>
    <t>49,704</t>
  </si>
  <si>
    <t>11,921</t>
  </si>
  <si>
    <t>45,293</t>
  </si>
  <si>
    <t>4,771</t>
  </si>
  <si>
    <t>40,228</t>
  </si>
  <si>
    <t>4,625</t>
  </si>
  <si>
    <t>31,911</t>
  </si>
  <si>
    <t>20,629</t>
  </si>
  <si>
    <t>27,957</t>
  </si>
  <si>
    <t>5,590</t>
  </si>
  <si>
    <t>16,637</t>
  </si>
  <si>
    <t>4,988</t>
  </si>
  <si>
    <t>15,037</t>
  </si>
  <si>
    <t>2,068</t>
  </si>
  <si>
    <t>13,228</t>
  </si>
  <si>
    <t>2,000</t>
  </si>
  <si>
    <t>12,448</t>
  </si>
  <si>
    <t>34,170</t>
  </si>
  <si>
    <t>65,521</t>
  </si>
  <si>
    <t>8,384</t>
  </si>
  <si>
    <t>33,817</t>
  </si>
  <si>
    <t>8,226</t>
  </si>
  <si>
    <t>31,593</t>
  </si>
  <si>
    <t>3,517</t>
  </si>
  <si>
    <t>27,094</t>
  </si>
  <si>
    <t>3,204</t>
  </si>
  <si>
    <t>24,113</t>
  </si>
  <si>
    <t>27,551</t>
  </si>
  <si>
    <t>29,352</t>
  </si>
  <si>
    <t>11,900</t>
  </si>
  <si>
    <t>20,284</t>
  </si>
  <si>
    <t>5,831</t>
  </si>
  <si>
    <t>14,655</t>
  </si>
  <si>
    <t>3,449</t>
  </si>
  <si>
    <t>Education</t>
  </si>
  <si>
    <t>12,508</t>
  </si>
  <si>
    <t>2,767</t>
  </si>
  <si>
    <t>11,731</t>
  </si>
  <si>
    <t>Postsecondary Enrollment, Persistence, and Completion Across High School Poverty Level</t>
  </si>
  <si>
    <t>High-Poverty High Schools</t>
  </si>
  <si>
    <t>Low-Poverty High Schools</t>
  </si>
  <si>
    <t>N of schools</t>
  </si>
  <si>
    <t>25th percentile</t>
  </si>
  <si>
    <t>50th percentile</t>
  </si>
  <si>
    <t>75th percentile</t>
  </si>
  <si>
    <t>N of total HS Graduates</t>
  </si>
  <si>
    <t>Total</t>
  </si>
  <si>
    <t>Two-year</t>
  </si>
  <si>
    <t>Four-year</t>
  </si>
  <si>
    <t>In-state</t>
  </si>
  <si>
    <t>Out-of-state</t>
  </si>
  <si>
    <t>Students enrolled in first year</t>
  </si>
  <si>
    <t>Postsecondary Enrollment, Persistence, and Completion Across High School Income Level</t>
  </si>
  <si>
    <t>Low-Income High Schools</t>
  </si>
  <si>
    <t>Higher-Income High Schools</t>
  </si>
  <si>
    <t>Postsecondary Enrollment, Persistence, and Completion Across High School Minority Level</t>
  </si>
  <si>
    <t>High-Minority High Schools</t>
  </si>
  <si>
    <t>Low-Minority High Schools</t>
  </si>
  <si>
    <t>Postsecondary Enrollment, Persistence, and Completion Across High School Urbanicity</t>
  </si>
  <si>
    <t>Urban High Schools</t>
  </si>
  <si>
    <t>Suburban High Schools</t>
  </si>
  <si>
    <t>Rural High Schools</t>
  </si>
  <si>
    <t>Postsecondary Enrollment, Persistence, and Completion for Public Charter High School Graduates</t>
  </si>
  <si>
    <t>Postsecondary Enrollment, Persistence, and Completion for Private High School Graduates</t>
  </si>
  <si>
    <t>* Data are suppressed (*) when grade 12 coverage is under 10%, there are fewer than 3 schools, or fewer than 30 students.</t>
  </si>
  <si>
    <t xml:space="preserve">Income Level Designation Changes, First Fall and First Year Enrollment </t>
  </si>
  <si>
    <t>Low-Income Schools</t>
  </si>
  <si>
    <t>Higher-Income Schools</t>
  </si>
  <si>
    <t>High School Graduating Class</t>
  </si>
  <si>
    <t>N Schools in NSC</t>
  </si>
  <si>
    <t>N Schools in NCES</t>
  </si>
  <si>
    <t>N of Students in NSC</t>
  </si>
  <si>
    <t>N of Students in NCES</t>
  </si>
  <si>
    <t>Class of 2019</t>
  </si>
  <si>
    <t>Class of 2022</t>
  </si>
  <si>
    <t>Class of 2023</t>
  </si>
  <si>
    <t>Class of 2024</t>
  </si>
  <si>
    <t>Class of 2025</t>
  </si>
  <si>
    <t>Table 80a. College Enrollment Rates in the First Fall after High School Graduation for Class of 2025 and Class of 2025 Adjusted to 2024 High School Income Designations</t>
  </si>
  <si>
    <t>Table 80b. College Enrollment Rates in the First Fall after High School Graduation for Class of 2025 and Class of 2025 Adjusted to 2024 High School Income Designations</t>
  </si>
  <si>
    <t xml:space="preserve">2025 Adjusted </t>
  </si>
  <si>
    <t>Table 81a. College Enrollment Rates in the First Year after High School Graduation for Class of 2024 and Class of 2024 Adjusted to 2023 High School Income Designations</t>
  </si>
  <si>
    <t>Table 81b. College Enrollment Rates in the First Year after High School Graduation for Class 2024 of  and Class of 2024 Adjusted to 2023 High School Income Designations</t>
  </si>
  <si>
    <t>2024 Adjusted</t>
  </si>
  <si>
    <t>Table 82a. College Enrollment Rates in the First Fall after High School Graduation for Class of 2025 and Class of 2025 Adjusted to 2024 High School Income Designations by Minority Levels</t>
  </si>
  <si>
    <t>Table 82b. College Enrollment Rates in the First Fall after High School Graduation for Class of 2025 and Class of 2025 Adjusted to 2024 High School Income Designations by Minority Levels</t>
  </si>
  <si>
    <t>2025 Adjusted</t>
  </si>
  <si>
    <t>Table 83a. College Enrollment Rates in the First Year after High School Graduation for Class of 2024 and Class of 2024 Adjusted to 2023 High School Income Designations by Minority Levels</t>
  </si>
  <si>
    <t>Table 83b. College Enrollment Rates in the First Year after High School Graduation for Class of 2024 and Class of 2024 Adjusted to 2023 High School Income Designations by Minority Levels</t>
  </si>
  <si>
    <t>Table 84a. College Enrollment Rates in the First Two Years after High School Graduation for Class of 2023 and Class of 2023 Adjusted to 2022 High School Income Designations</t>
  </si>
  <si>
    <t>Table 84b. College Enrollment Rates in the First Two Years after High School Graduation for Class 2023 of  and Class of 2023 Adjusted to 2022 High School Income Designations</t>
  </si>
  <si>
    <t>2023 Adjusted</t>
  </si>
  <si>
    <t>Table 85a. Persistence Rates from First to Second Year of College for Class of 2023 and Class of 2023 Adjusted to 2022 High School Income Designations</t>
  </si>
  <si>
    <t>Table 85b. Persistence Rates from First to Second Year of College for Class of 2023  and Class of 2023 Adjusted to 2022 High School Income Designations</t>
  </si>
  <si>
    <t xml:space="preserve">Poverty Level Designation Changes, First Fall and First Year Enrollment </t>
  </si>
  <si>
    <t>High-Poverty Schools</t>
  </si>
  <si>
    <t>Low-Poverty Schools</t>
  </si>
  <si>
    <t>Table 87a. College Enrollment Rates in the First Fall after High School Graduation for Class of 2025 and Class of 2025 Adjusted to 2024 High School Income Designations</t>
  </si>
  <si>
    <t>Table 87b. College Enrollment Rates in the First Fall after High School Graduation for Class of 2025 and Class of 2025 Adjusted to 2024 High School Income Designations</t>
  </si>
  <si>
    <t>Table 88a. College Enrollment Rates in the First Year after High School Graduation for Class of 2024 and Class of 2024 Adjusted to 2023 High School Income Designations</t>
  </si>
  <si>
    <t>Table 88b. College Enrollment Rates in the First Year after High School Graduation for Class of 2024 and Class of 2024 Adjusted to 2023 High School Income Designations</t>
  </si>
  <si>
    <t>Table 89a. College Enrollment Rates in the First Two Years after High School Graduation for Class of 2023 and Class of 2023 Adjusted to 2022 High School Income Designations</t>
  </si>
  <si>
    <t>Table 89b. College Enrollment Rates in the First Two Years after High School Graduation for Class of 2023 and Class of 2023 Adjusted to 2022 High School Income Designations</t>
  </si>
  <si>
    <t>Table 90a. Persistence Rates from First to Second Year of College for Class of 2023 and Class of 2023 Adjusted to 2022 High School Income Designations</t>
  </si>
  <si>
    <t>Table 90b. Persistence Rates from First to Second Year of College for Class of 2023 and Class of 2023 Adjusted to 2022 High School Income Designations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</si>
</sst>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font>
      <sz val="11"/>
      <color theme="1"/>
      <name val="Aptos Narrow"/>
      <family val="2"/>
      <scheme val="minor"/>
    </font>
    <font>
      <sz val="11"/>
      <color theme="1"/>
      <name val="Aptos Narrow"/>
      <family val="2"/>
      <scheme val="minor"/>
    </font>
    <font>
      <b/>
      <sz val="11"/>
      <color theme="1"/>
      <name val="Aptos Narrow"/>
      <family val="2"/>
      <scheme val="minor"/>
    </font>
    <font>
      <b/>
      <sz val="16"/>
      <color theme="1"/>
      <name val="Aptos Narrow"/>
      <family val="2"/>
      <scheme val="minor"/>
    </font>
    <font>
      <sz val="11"/>
      <color rgb="FF000000"/>
      <name val="Aptos Narrow"/>
      <family val="2"/>
      <scheme val="minor"/>
    </font>
    <font>
      <b/>
      <sz val="11"/>
      <name val="Aptos Narrow"/>
      <family val="2"/>
      <scheme val="minor"/>
    </font>
    <font>
      <sz val="14"/>
      <color theme="1"/>
      <name val="Aptos Narrow"/>
      <family val="2"/>
      <scheme val="minor"/>
    </font>
    <font>
      <b/>
      <sz val="14"/>
      <color theme="1"/>
      <name val="Aptos Narrow"/>
      <family val="2"/>
      <scheme val="minor"/>
    </font>
    <font>
      <b/>
      <i/>
      <sz val="11"/>
      <color theme="1"/>
      <name val="Aptos Narrow"/>
      <family val="2"/>
      <scheme val="minor"/>
    </font>
    <font>
      <sz val="11"/>
      <color rgb="FF000000"/>
      <name val="Aptos Narrow"/>
      <family val="2"/>
    </font>
    <font>
      <b/>
      <sz val="16"/>
      <color rgb="FF000000"/>
      <name val="Aptos Narrow"/>
      <family val="2"/>
      <scheme val="minor"/>
    </font>
    <font>
      <sz val="22"/>
      <color rgb="FF000000"/>
      <name val="Aptos Narrow"/>
      <family val="2"/>
      <scheme val="minor"/>
    </font>
    <font>
      <sz val="14"/>
      <color rgb="FF000000"/>
      <name val="Aptos Narrow"/>
      <family val="2"/>
      <scheme val="minor"/>
    </font>
    <font>
      <b/>
      <sz val="11"/>
      <color rgb="FF000000"/>
      <name val="Aptos Narrow"/>
      <family val="2"/>
      <scheme val="minor"/>
    </font>
    <font>
      <i/>
      <sz val="10"/>
      <color theme="1"/>
      <name val="Aptos Narrow"/>
      <family val="2"/>
      <scheme val="minor"/>
    </font>
  </fonts>
  <fills count="3">
    <fill>
      <patternFill patternType="none"/>
    </fill>
    <fill>
      <patternFill patternType="gray125"/>
    </fill>
    <fill>
      <patternFill patternType="solid">
        <fgColor theme="2"/>
        <bgColor indexed="64"/>
      </patternFill>
    </fill>
  </fills>
  <borders count="15">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rgb="FF000000"/>
      </right>
      <top/>
      <bottom/>
      <diagonal/>
    </border>
    <border>
      <left style="thin">
        <color rgb="FF000000"/>
      </left>
      <right/>
      <top/>
      <bottom/>
      <diagonal/>
    </border>
    <border>
      <left style="thin">
        <color indexed="64"/>
      </left>
      <right style="thin">
        <color rgb="FF000000"/>
      </right>
      <top/>
      <bottom style="thin">
        <color indexed="64"/>
      </bottom>
      <diagonal/>
    </border>
  </borders>
  <cellStyleXfs count="2">
    <xf numFmtId="0" fontId="0" fillId="0" borderId="0"/>
    <xf numFmtId="9" fontId="1" fillId="0" borderId="0" applyFont="0" applyFill="0" applyBorder="0" applyAlignment="0" applyProtection="0"/>
  </cellStyleXfs>
  <cellXfs count="124">
    <xf numFmtId="0" fontId="0" fillId="0" borderId="0" xfId="0"/>
    <xf numFmtId="0" fontId="3" fillId="0" borderId="0" xfId="0" applyFont="1"/>
    <xf numFmtId="0" fontId="2" fillId="0" borderId="0" xfId="0" applyFont="1"/>
    <xf numFmtId="0" fontId="2" fillId="0" borderId="1" xfId="0" applyFont="1" applyBorder="1"/>
    <xf numFmtId="0" fontId="0" fillId="0" borderId="1" xfId="0" applyBorder="1"/>
    <xf numFmtId="0" fontId="0" fillId="0" borderId="2" xfId="0" applyBorder="1"/>
    <xf numFmtId="0" fontId="4" fillId="0" borderId="2" xfId="0" quotePrefix="1" applyFont="1" applyBorder="1" applyAlignment="1">
      <alignment horizontal="center"/>
    </xf>
    <xf numFmtId="0" fontId="4" fillId="0" borderId="3" xfId="0" quotePrefix="1" applyFont="1" applyBorder="1" applyAlignment="1">
      <alignment horizontal="center"/>
    </xf>
    <xf numFmtId="0" fontId="4" fillId="0" borderId="4" xfId="0" quotePrefix="1" applyFont="1" applyBorder="1" applyAlignment="1">
      <alignment horizontal="center"/>
    </xf>
    <xf numFmtId="0" fontId="4" fillId="0" borderId="5" xfId="0" quotePrefix="1" applyFont="1" applyBorder="1" applyAlignment="1">
      <alignment horizontal="center"/>
    </xf>
    <xf numFmtId="0" fontId="4" fillId="0" borderId="6" xfId="0" quotePrefix="1" applyFont="1" applyBorder="1" applyAlignment="1">
      <alignment horizontal="left" vertical="top"/>
    </xf>
    <xf numFmtId="164" fontId="4" fillId="0" borderId="6" xfId="0" applyNumberFormat="1" applyFont="1" applyBorder="1" applyAlignment="1">
      <alignment vertical="center"/>
    </xf>
    <xf numFmtId="164" fontId="4" fillId="0" borderId="4" xfId="0" applyNumberFormat="1" applyFont="1" applyBorder="1" applyAlignment="1">
      <alignment vertical="center"/>
    </xf>
    <xf numFmtId="3" fontId="4" fillId="0" borderId="6" xfId="0" applyNumberFormat="1" applyFont="1" applyBorder="1" applyAlignment="1">
      <alignment vertical="center"/>
    </xf>
    <xf numFmtId="3" fontId="4" fillId="0" borderId="4" xfId="0" applyNumberFormat="1" applyFont="1" applyBorder="1" applyAlignment="1">
      <alignment vertical="center"/>
    </xf>
    <xf numFmtId="3" fontId="4" fillId="0" borderId="2" xfId="0" applyNumberFormat="1" applyFont="1" applyBorder="1" applyAlignment="1">
      <alignment vertical="center"/>
    </xf>
    <xf numFmtId="0" fontId="5" fillId="0" borderId="1" xfId="0" applyFont="1" applyBorder="1"/>
    <xf numFmtId="0" fontId="0" fillId="0" borderId="2" xfId="0" applyBorder="1" applyAlignment="1">
      <alignment wrapText="1"/>
    </xf>
    <xf numFmtId="0" fontId="4" fillId="0" borderId="2" xfId="0" quotePrefix="1" applyFont="1" applyBorder="1" applyAlignment="1">
      <alignment horizontal="center" wrapText="1"/>
    </xf>
    <xf numFmtId="0" fontId="4" fillId="0" borderId="3" xfId="0" quotePrefix="1" applyFont="1" applyBorder="1" applyAlignment="1">
      <alignment horizontal="center" wrapText="1"/>
    </xf>
    <xf numFmtId="0" fontId="4" fillId="0" borderId="4" xfId="0" quotePrefix="1" applyFont="1" applyBorder="1" applyAlignment="1">
      <alignment horizontal="center" wrapText="1"/>
    </xf>
    <xf numFmtId="0" fontId="4" fillId="0" borderId="5" xfId="0" quotePrefix="1" applyFont="1" applyBorder="1" applyAlignment="1">
      <alignment horizontal="center" wrapText="1"/>
    </xf>
    <xf numFmtId="0" fontId="4" fillId="0" borderId="0" xfId="0" quotePrefix="1" applyFont="1" applyAlignment="1">
      <alignment horizontal="center" wrapText="1"/>
    </xf>
    <xf numFmtId="0" fontId="0" fillId="0" borderId="0" xfId="0" applyAlignment="1">
      <alignment wrapText="1"/>
    </xf>
    <xf numFmtId="164" fontId="4" fillId="0" borderId="0" xfId="0" applyNumberFormat="1" applyFont="1" applyAlignment="1">
      <alignment vertical="center"/>
    </xf>
    <xf numFmtId="3" fontId="4" fillId="0" borderId="0" xfId="0" applyNumberFormat="1" applyFont="1" applyAlignment="1">
      <alignment vertical="center"/>
    </xf>
    <xf numFmtId="0" fontId="0" fillId="0" borderId="0" xfId="0" applyAlignment="1">
      <alignment horizontal="center"/>
    </xf>
    <xf numFmtId="0" fontId="2" fillId="0" borderId="2" xfId="0" applyFont="1" applyBorder="1"/>
    <xf numFmtId="0" fontId="2" fillId="0" borderId="2" xfId="0" applyFont="1" applyBorder="1" applyAlignment="1">
      <alignment horizontal="center" vertical="center"/>
    </xf>
    <xf numFmtId="0" fontId="2" fillId="0" borderId="2" xfId="0" applyFont="1" applyBorder="1" applyAlignment="1">
      <alignment horizontal="center"/>
    </xf>
    <xf numFmtId="0" fontId="4" fillId="2" borderId="6" xfId="0" quotePrefix="1" applyFont="1" applyFill="1" applyBorder="1" applyAlignment="1">
      <alignment horizontal="left" vertical="top"/>
    </xf>
    <xf numFmtId="164" fontId="4" fillId="2" borderId="6" xfId="0" applyNumberFormat="1" applyFont="1" applyFill="1" applyBorder="1" applyAlignment="1">
      <alignment horizontal="right" vertical="center"/>
    </xf>
    <xf numFmtId="164" fontId="0" fillId="0" borderId="0" xfId="0" applyNumberFormat="1"/>
    <xf numFmtId="164" fontId="4" fillId="0" borderId="6" xfId="0" applyNumberFormat="1" applyFont="1" applyBorder="1" applyAlignment="1">
      <alignment horizontal="right" vertical="center"/>
    </xf>
    <xf numFmtId="0" fontId="0" fillId="0" borderId="1" xfId="0" applyBorder="1" applyAlignment="1">
      <alignment horizont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0" fillId="0" borderId="4" xfId="0" applyBorder="1" applyAlignment="1">
      <alignment horizontal="left" vertical="center"/>
    </xf>
    <xf numFmtId="0" fontId="0" fillId="0" borderId="9" xfId="0" applyBorder="1" applyAlignment="1">
      <alignment horizontal="left" vertical="center"/>
    </xf>
    <xf numFmtId="0" fontId="0" fillId="0" borderId="2" xfId="0" applyBorder="1" applyAlignment="1">
      <alignment horizontal="left" vertical="center"/>
    </xf>
    <xf numFmtId="164" fontId="9" fillId="0" borderId="0" xfId="0" applyNumberFormat="1" applyFont="1" applyAlignment="1">
      <alignment vertical="center"/>
    </xf>
    <xf numFmtId="3" fontId="9" fillId="0" borderId="0" xfId="0" applyNumberFormat="1" applyFont="1" applyAlignment="1">
      <alignment vertical="center"/>
    </xf>
    <xf numFmtId="3" fontId="9" fillId="0" borderId="1" xfId="0" applyNumberFormat="1" applyFont="1" applyBorder="1" applyAlignment="1">
      <alignment vertical="center"/>
    </xf>
    <xf numFmtId="164" fontId="9" fillId="0" borderId="6" xfId="0" applyNumberFormat="1" applyFont="1" applyBorder="1" applyAlignment="1">
      <alignment vertical="center"/>
    </xf>
    <xf numFmtId="3" fontId="9" fillId="0" borderId="6" xfId="0" applyNumberFormat="1" applyFont="1" applyBorder="1" applyAlignment="1">
      <alignment vertical="center"/>
    </xf>
    <xf numFmtId="1" fontId="10" fillId="0" borderId="0" xfId="0" applyNumberFormat="1" applyFont="1" applyAlignment="1">
      <alignment vertical="center"/>
    </xf>
    <xf numFmtId="1" fontId="11" fillId="0" borderId="0" xfId="0" applyNumberFormat="1" applyFont="1" applyAlignment="1">
      <alignment vertical="center"/>
    </xf>
    <xf numFmtId="1" fontId="12" fillId="0" borderId="0" xfId="0" applyNumberFormat="1" applyFont="1" applyAlignment="1">
      <alignment vertical="center"/>
    </xf>
    <xf numFmtId="1" fontId="4" fillId="0" borderId="0" xfId="0" applyNumberFormat="1" applyFont="1" applyAlignment="1">
      <alignment horizontal="center" vertical="center"/>
    </xf>
    <xf numFmtId="1" fontId="4" fillId="0" borderId="0" xfId="0" applyNumberFormat="1" applyFont="1" applyAlignment="1">
      <alignment vertical="center"/>
    </xf>
    <xf numFmtId="3" fontId="0" fillId="0" borderId="0" xfId="0" applyNumberFormat="1"/>
    <xf numFmtId="0" fontId="0" fillId="0" borderId="6" xfId="0" applyBorder="1" applyAlignment="1">
      <alignment vertical="top" wrapText="1"/>
    </xf>
    <xf numFmtId="3" fontId="0" fillId="0" borderId="6" xfId="0" applyNumberFormat="1" applyBorder="1" applyAlignment="1">
      <alignment vertical="center" wrapText="1"/>
    </xf>
    <xf numFmtId="0" fontId="0" fillId="0" borderId="6" xfId="0" applyBorder="1" applyAlignment="1">
      <alignment vertical="center" wrapText="1"/>
    </xf>
    <xf numFmtId="1" fontId="13" fillId="0" borderId="6" xfId="0" applyNumberFormat="1" applyFont="1" applyBorder="1" applyAlignment="1">
      <alignment horizontal="center" vertical="center" wrapText="1"/>
    </xf>
    <xf numFmtId="0" fontId="4" fillId="0" borderId="0" xfId="0" applyFont="1"/>
    <xf numFmtId="0" fontId="2" fillId="0" borderId="0" xfId="0" applyFont="1" applyAlignment="1">
      <alignment vertical="center"/>
    </xf>
    <xf numFmtId="0" fontId="0" fillId="0" borderId="6" xfId="0" applyBorder="1" applyAlignment="1">
      <alignment wrapText="1"/>
    </xf>
    <xf numFmtId="1" fontId="13" fillId="0" borderId="0" xfId="0" applyNumberFormat="1" applyFont="1" applyAlignment="1">
      <alignment horizontal="center" vertical="center" wrapText="1"/>
    </xf>
    <xf numFmtId="3" fontId="4" fillId="0" borderId="0" xfId="0" applyNumberFormat="1" applyFont="1" applyAlignment="1">
      <alignment horizontal="right" vertical="center" wrapText="1"/>
    </xf>
    <xf numFmtId="164" fontId="4" fillId="0" borderId="0" xfId="1" applyNumberFormat="1" applyFont="1" applyFill="1" applyBorder="1" applyAlignment="1">
      <alignment horizontal="right" vertical="center" wrapText="1"/>
    </xf>
    <xf numFmtId="164" fontId="4" fillId="0" borderId="0" xfId="1" applyNumberFormat="1" applyFont="1" applyAlignment="1">
      <alignment horizontal="right" vertical="center" wrapText="1"/>
    </xf>
    <xf numFmtId="165" fontId="4" fillId="0" borderId="6" xfId="0" applyNumberFormat="1" applyFont="1" applyBorder="1" applyAlignment="1">
      <alignment vertical="center"/>
    </xf>
    <xf numFmtId="1" fontId="13" fillId="0" borderId="7" xfId="0" applyNumberFormat="1" applyFont="1" applyBorder="1" applyAlignment="1">
      <alignment horizontal="center" vertical="center" wrapText="1"/>
    </xf>
    <xf numFmtId="0" fontId="5" fillId="0" borderId="0" xfId="0" applyFont="1"/>
    <xf numFmtId="0" fontId="4" fillId="0" borderId="6" xfId="0" quotePrefix="1" applyFont="1" applyBorder="1" applyAlignment="1">
      <alignment horizontal="center" wrapText="1"/>
    </xf>
    <xf numFmtId="164" fontId="4" fillId="0" borderId="10" xfId="0" applyNumberFormat="1" applyFont="1" applyBorder="1" applyAlignment="1">
      <alignment vertical="center"/>
    </xf>
    <xf numFmtId="3" fontId="4" fillId="0" borderId="10" xfId="0" applyNumberFormat="1" applyFont="1" applyBorder="1" applyAlignment="1">
      <alignment vertical="center"/>
    </xf>
    <xf numFmtId="0" fontId="5" fillId="0" borderId="6" xfId="0" applyFont="1" applyBorder="1"/>
    <xf numFmtId="0" fontId="13" fillId="0" borderId="6" xfId="0" quotePrefix="1" applyFont="1" applyBorder="1" applyAlignment="1">
      <alignment horizontal="left" vertical="top"/>
    </xf>
    <xf numFmtId="3" fontId="4" fillId="2" borderId="6" xfId="0" quotePrefix="1" applyNumberFormat="1" applyFont="1" applyFill="1" applyBorder="1" applyAlignment="1">
      <alignment horizontal="right" vertical="top"/>
    </xf>
    <xf numFmtId="3" fontId="4" fillId="0" borderId="6" xfId="0" quotePrefix="1" applyNumberFormat="1" applyFont="1" applyBorder="1" applyAlignment="1">
      <alignment horizontal="right" vertical="top"/>
    </xf>
    <xf numFmtId="1" fontId="13" fillId="0" borderId="6" xfId="0" quotePrefix="1" applyNumberFormat="1" applyFont="1" applyBorder="1" applyAlignment="1">
      <alignment horizontal="center" vertical="center" wrapText="1"/>
    </xf>
    <xf numFmtId="1" fontId="10" fillId="0" borderId="0" xfId="0" quotePrefix="1" applyNumberFormat="1" applyFont="1" applyAlignment="1">
      <alignment horizontal="left" vertical="center"/>
    </xf>
    <xf numFmtId="0" fontId="4" fillId="0" borderId="2" xfId="0" quotePrefix="1" applyFont="1" applyBorder="1" applyAlignment="1">
      <alignment horizontal="left" wrapText="1"/>
    </xf>
    <xf numFmtId="0" fontId="4" fillId="0" borderId="3" xfId="0" quotePrefix="1" applyFont="1" applyBorder="1" applyAlignment="1">
      <alignment horizontal="left" wrapText="1"/>
    </xf>
    <xf numFmtId="0" fontId="4" fillId="0" borderId="5" xfId="0" quotePrefix="1" applyFont="1" applyBorder="1" applyAlignment="1">
      <alignment horizontal="left" wrapText="1"/>
    </xf>
    <xf numFmtId="1" fontId="0" fillId="0" borderId="2" xfId="0" applyNumberFormat="1" applyBorder="1" applyAlignment="1">
      <alignment horizontal="left" vertical="center"/>
    </xf>
    <xf numFmtId="0" fontId="5" fillId="0" borderId="1" xfId="0" quotePrefix="1" applyFont="1" applyBorder="1" applyAlignment="1">
      <alignment horizontal="left"/>
    </xf>
    <xf numFmtId="0" fontId="14" fillId="0" borderId="0" xfId="0" quotePrefix="1" applyFont="1" applyAlignment="1">
      <alignment horizontal="left"/>
    </xf>
    <xf numFmtId="10" fontId="4" fillId="0" borderId="6" xfId="0" applyNumberFormat="1" applyFont="1" applyBorder="1" applyAlignment="1">
      <alignment vertical="center"/>
    </xf>
    <xf numFmtId="0" fontId="0" fillId="0" borderId="6" xfId="0" applyBorder="1"/>
    <xf numFmtId="165" fontId="0" fillId="0" borderId="0" xfId="0" applyNumberFormat="1"/>
    <xf numFmtId="165" fontId="0" fillId="0" borderId="6" xfId="0" applyNumberFormat="1" applyBorder="1" applyAlignment="1">
      <alignment vertical="center" wrapText="1"/>
    </xf>
    <xf numFmtId="165" fontId="4" fillId="0" borderId="0" xfId="0" applyNumberFormat="1" applyFont="1" applyAlignment="1">
      <alignment horizontal="right" vertical="center" wrapText="1"/>
    </xf>
    <xf numFmtId="3" fontId="4" fillId="0" borderId="5" xfId="0" applyNumberFormat="1" applyFont="1" applyBorder="1" applyAlignment="1">
      <alignment vertical="center"/>
    </xf>
    <xf numFmtId="0" fontId="0" fillId="0" borderId="12" xfId="0" applyBorder="1" applyAlignment="1">
      <alignment horizontal="left" vertical="center"/>
    </xf>
    <xf numFmtId="0" fontId="0" fillId="0" borderId="13" xfId="0" applyBorder="1"/>
    <xf numFmtId="0" fontId="0" fillId="0" borderId="14" xfId="0" applyBorder="1" applyAlignment="1">
      <alignment horizontal="left" vertical="center"/>
    </xf>
    <xf numFmtId="0" fontId="2" fillId="0" borderId="9"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49" fontId="7" fillId="0" borderId="7" xfId="0" applyNumberFormat="1" applyFont="1" applyBorder="1" applyAlignment="1">
      <alignment horizontal="center" vertical="center"/>
    </xf>
    <xf numFmtId="49" fontId="7" fillId="0" borderId="8" xfId="0" applyNumberFormat="1" applyFont="1" applyBorder="1" applyAlignment="1">
      <alignment horizontal="center" vertical="center"/>
    </xf>
    <xf numFmtId="0" fontId="2" fillId="0" borderId="7" xfId="0" applyFont="1" applyBorder="1" applyAlignment="1">
      <alignment horizontal="left" vertical="center"/>
    </xf>
    <xf numFmtId="0" fontId="2" fillId="0" borderId="7" xfId="0" quotePrefix="1" applyFont="1" applyBorder="1" applyAlignment="1">
      <alignment horizontal="left" vertical="center"/>
    </xf>
    <xf numFmtId="0" fontId="4" fillId="0" borderId="6" xfId="0" quotePrefix="1" applyFont="1" applyBorder="1" applyAlignment="1">
      <alignment horizontal="left" vertical="top"/>
    </xf>
    <xf numFmtId="0" fontId="4" fillId="0" borderId="6" xfId="0" quotePrefix="1" applyFont="1" applyBorder="1" applyAlignment="1">
      <alignment horizontal="left" vertical="top" wrapText="1"/>
    </xf>
    <xf numFmtId="0" fontId="0" fillId="0" borderId="6" xfId="0" applyBorder="1" applyAlignment="1">
      <alignment wrapText="1"/>
    </xf>
    <xf numFmtId="0" fontId="4" fillId="0" borderId="7" xfId="0" quotePrefix="1" applyFont="1" applyBorder="1" applyAlignment="1">
      <alignment horizontal="left" vertical="top" wrapText="1"/>
    </xf>
    <xf numFmtId="0" fontId="0" fillId="0" borderId="7" xfId="0" applyBorder="1" applyAlignment="1">
      <alignment wrapText="1"/>
    </xf>
    <xf numFmtId="0" fontId="4" fillId="0" borderId="9" xfId="0" quotePrefix="1" applyFont="1" applyBorder="1" applyAlignment="1">
      <alignment horizontal="left" vertical="top" wrapText="1"/>
    </xf>
    <xf numFmtId="0" fontId="4" fillId="0" borderId="2" xfId="0" quotePrefix="1" applyFont="1" applyBorder="1" applyAlignment="1">
      <alignment horizontal="left" vertical="top" wrapText="1"/>
    </xf>
    <xf numFmtId="0" fontId="4" fillId="2" borderId="6" xfId="0" quotePrefix="1" applyFont="1" applyFill="1" applyBorder="1" applyAlignment="1">
      <alignment horizontal="left" vertical="top"/>
    </xf>
    <xf numFmtId="0" fontId="4" fillId="2" borderId="9" xfId="0" quotePrefix="1" applyFont="1" applyFill="1" applyBorder="1" applyAlignment="1">
      <alignment horizontal="left" vertical="top"/>
    </xf>
    <xf numFmtId="0" fontId="4" fillId="0" borderId="9" xfId="0" quotePrefix="1" applyFont="1" applyBorder="1" applyAlignment="1">
      <alignment horizontal="left" vertical="top"/>
    </xf>
    <xf numFmtId="0" fontId="6" fillId="0" borderId="0" xfId="0" applyFont="1" applyAlignment="1">
      <alignment horizontal="center"/>
    </xf>
    <xf numFmtId="1" fontId="12" fillId="0" borderId="0" xfId="0" quotePrefix="1" applyNumberFormat="1" applyFont="1" applyAlignment="1">
      <alignment horizontal="center" vertical="center"/>
    </xf>
    <xf numFmtId="1" fontId="12" fillId="0" borderId="0" xfId="0" applyNumberFormat="1" applyFont="1" applyAlignment="1">
      <alignment horizontal="center" vertical="center"/>
    </xf>
    <xf numFmtId="0" fontId="2" fillId="0" borderId="0" xfId="0" applyFont="1" applyAlignment="1">
      <alignment horizontal="left" vertical="center" wrapText="1"/>
    </xf>
    <xf numFmtId="0" fontId="2" fillId="0" borderId="0" xfId="0" quotePrefix="1" applyFont="1" applyAlignment="1">
      <alignment horizontal="left" vertical="center" wrapText="1"/>
    </xf>
    <xf numFmtId="0" fontId="6" fillId="0" borderId="0" xfId="0" quotePrefix="1" applyFont="1" applyAlignment="1">
      <alignment horizontal="center"/>
    </xf>
    <xf numFmtId="0" fontId="5" fillId="0" borderId="11" xfId="0" applyFont="1" applyBorder="1" applyAlignment="1">
      <alignment horizontal="center"/>
    </xf>
    <xf numFmtId="0" fontId="5" fillId="0" borderId="8" xfId="0" applyFont="1" applyBorder="1" applyAlignment="1">
      <alignment horizontal="center"/>
    </xf>
    <xf numFmtId="0" fontId="5" fillId="0" borderId="7" xfId="0" quotePrefix="1" applyFont="1" applyBorder="1" applyAlignment="1">
      <alignment horizontal="center"/>
    </xf>
    <xf numFmtId="0" fontId="4" fillId="0" borderId="2" xfId="0" quotePrefix="1" applyFont="1" applyBorder="1" applyAlignment="1">
      <alignment horizontal="left" vertical="top"/>
    </xf>
    <xf numFmtId="0" fontId="0" fillId="0" borderId="6" xfId="0" applyBorder="1" applyAlignment="1"/>
    <xf numFmtId="0" fontId="0" fillId="2" borderId="4" xfId="0" applyFill="1" applyBorder="1" applyAlignment="1"/>
    <xf numFmtId="0" fontId="0" fillId="2" borderId="6" xfId="0" applyFill="1" applyBorder="1" applyAlignment="1"/>
    <xf numFmtId="0" fontId="0" fillId="2" borderId="2" xfId="0" applyFill="1" applyBorder="1" applyAlignment="1"/>
    <xf numFmtId="0" fontId="0" fillId="0" borderId="4" xfId="0" applyBorder="1" applyAlignment="1"/>
    <xf numFmtId="0" fontId="0" fillId="0" borderId="2" xfId="0" applyBorder="1" applyAlignme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210395387323573"/>
          <c:y val="3.9007529729678886E-2"/>
          <c:w val="0.86844490824189147"/>
          <c:h val="0.80241693865502839"/>
        </c:manualLayout>
      </c:layout>
      <c:barChart>
        <c:barDir val="col"/>
        <c:grouping val="stacked"/>
        <c:varyColors val="0"/>
        <c:ser>
          <c:idx val="2"/>
          <c:order val="0"/>
          <c:tx>
            <c:strRef>
              <c:f>'6 Public Non-Charter Urbanicity'!$Q$10</c:f>
              <c:strCache>
                <c:ptCount val="1"/>
                <c:pt idx="0">
                  <c:v>Public</c:v>
                </c:pt>
              </c:strCache>
            </c:strRef>
          </c:tx>
          <c:invertIfNegative val="0"/>
          <c:dLbls>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'6 Public Non-Charter Urbanicity'!$A$11:$A$13</c:f>
              <c:numCache>
                <c:formatCode>0</c:formatCode>
                <c:ptCount val="3"/>
                <c:pt idx="0">
                  <c:v>2024</c:v>
                </c:pt>
                <c:pt idx="1">
                  <c:v>2025</c:v>
                </c:pt>
              </c:numCache>
            </c:numRef>
          </c:cat>
          <c:val>
            <c:numRef>
              <c:f>'6 Public Non-Charter Urbanicity'!$AD$11:$AD$12</c:f>
              <c:numCache>
                <c:formatCode>0.0%</c:formatCode>
                <c:ptCount val="2"/>
                <c:pt idx="0">
                  <c:v>0.4485506399392204</c:v>
                </c:pt>
                <c:pt idx="1">
                  <c:v>0.4465929237063414</c:v>
                </c:pt>
              </c:numCache>
            </c:numRef>
          </c:val>
          <c:extLst>
            <c:ext xmlns:c16="http://schemas.microsoft.com/office/drawing/2014/chart" uri="{C3380CC4-5D6E-409C-BE32-E72D297353CC}">
              <c16:uniqueId val="{00000000-2CC3-4541-B72E-E0389EEC62BF}"/>
            </c:ext>
          </c:extLst>
        </c:ser>
        <c:ser>
          <c:idx val="3"/>
          <c:order val="1"/>
          <c:tx>
            <c:strRef>
              <c:f>'6 Public Non-Charter Urbanicity'!$E$10</c:f>
              <c:strCache>
                <c:ptCount val="1"/>
                <c:pt idx="0">
                  <c:v>Private</c:v>
                </c:pt>
              </c:strCache>
            </c:strRef>
          </c:tx>
          <c:invertIfNegative val="0"/>
          <c:dLbls>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'6 Public Non-Charter Urbanicity'!$A$11:$A$13</c:f>
              <c:numCache>
                <c:formatCode>0</c:formatCode>
                <c:ptCount val="3"/>
                <c:pt idx="0">
                  <c:v>2024</c:v>
                </c:pt>
                <c:pt idx="1">
                  <c:v>2025</c:v>
                </c:pt>
              </c:numCache>
            </c:numRef>
          </c:cat>
          <c:val>
            <c:numRef>
              <c:f>'6 Public Non-Charter Urbanicity'!$AE$11:$AE$12</c:f>
              <c:numCache>
                <c:formatCode>0.0%</c:formatCode>
                <c:ptCount val="2"/>
                <c:pt idx="0">
                  <c:v>8.5867278358950389E-2</c:v>
                </c:pt>
                <c:pt idx="1">
                  <c:v>8.5021592544889765E-2</c:v>
                </c:pt>
              </c:numCache>
            </c:numRef>
          </c:val>
          <c:extLst>
            <c:ext xmlns:c16="http://schemas.microsoft.com/office/drawing/2014/chart" uri="{C3380CC4-5D6E-409C-BE32-E72D297353CC}">
              <c16:uniqueId val="{00000001-2CC3-4541-B72E-E0389EEC62BF}"/>
            </c:ext>
          </c:extLst>
        </c:ser>
        <c:ser>
          <c:idx val="0"/>
          <c:order val="2"/>
          <c:tx>
            <c:strRef>
              <c:f>'6 Public Non-Charter Urbanicity'!$F$10</c:f>
              <c:strCache>
                <c:ptCount val="1"/>
                <c:pt idx="0">
                  <c:v>Two-year</c:v>
                </c:pt>
              </c:strCache>
            </c:strRef>
          </c:tx>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2-2CC3-4541-B72E-E0389EEC62BF}"/>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'6 Public Non-Charter Urbanicity'!$A$11:$A$13</c:f>
              <c:numCache>
                <c:formatCode>0</c:formatCode>
                <c:ptCount val="3"/>
                <c:pt idx="0">
                  <c:v>2024</c:v>
                </c:pt>
                <c:pt idx="1">
                  <c:v>2025</c:v>
                </c:pt>
              </c:numCache>
            </c:numRef>
          </c:cat>
          <c:val>
            <c:numRef>
              <c:f>'6 Public Non-Charter Urbanicity'!$AF$8:$AF$12</c:f>
              <c:numCache>
                <c:formatCode>General</c:formatCode>
                <c:ptCount val="5"/>
                <c:pt idx="2">
                  <c:v>0</c:v>
                </c:pt>
                <c:pt idx="3" formatCode="0.0%">
                  <c:v>0.18958856875693997</c:v>
                </c:pt>
                <c:pt idx="4" formatCode="0.0%">
                  <c:v>0.19029168876430033</c:v>
                </c:pt>
              </c:numCache>
            </c:numRef>
          </c:val>
          <c:extLst>
            <c:ext xmlns:c16="http://schemas.microsoft.com/office/drawing/2014/chart" uri="{C3380CC4-5D6E-409C-BE32-E72D297353CC}">
              <c16:uniqueId val="{00000003-2CC3-4541-B72E-E0389EEC62BF}"/>
            </c:ext>
          </c:extLst>
        </c:ser>
        <c:ser>
          <c:idx val="1"/>
          <c:order val="3"/>
          <c:tx>
            <c:strRef>
              <c:f>'6 Public Non-Charter Urbanicity'!$G$10</c:f>
              <c:strCache>
                <c:ptCount val="1"/>
                <c:pt idx="0">
                  <c:v>Four-year</c:v>
                </c:pt>
              </c:strCache>
            </c:strRef>
          </c:tx>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4-2CC3-4541-B72E-E0389EEC62BF}"/>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'6 Public Non-Charter Urbanicity'!$A$11:$A$13</c:f>
              <c:numCache>
                <c:formatCode>0</c:formatCode>
                <c:ptCount val="3"/>
                <c:pt idx="0">
                  <c:v>2024</c:v>
                </c:pt>
                <c:pt idx="1">
                  <c:v>2025</c:v>
                </c:pt>
              </c:numCache>
            </c:numRef>
          </c:cat>
          <c:val>
            <c:numRef>
              <c:f>'6 Public Non-Charter Urbanicity'!$AG$8:$AG$12</c:f>
              <c:numCache>
                <c:formatCode>General</c:formatCode>
                <c:ptCount val="5"/>
                <c:pt idx="2">
                  <c:v>0</c:v>
                </c:pt>
                <c:pt idx="3" formatCode="0.0%">
                  <c:v>0.34482934954123079</c:v>
                </c:pt>
                <c:pt idx="4" formatCode="0.0%">
                  <c:v>0.34132282748693082</c:v>
                </c:pt>
              </c:numCache>
            </c:numRef>
          </c:val>
          <c:extLst>
            <c:ext xmlns:c16="http://schemas.microsoft.com/office/drawing/2014/chart" uri="{C3380CC4-5D6E-409C-BE32-E72D297353CC}">
              <c16:uniqueId val="{00000005-2CC3-4541-B72E-E0389EEC62BF}"/>
            </c:ext>
          </c:extLst>
        </c:ser>
        <c:ser>
          <c:idx val="4"/>
          <c:order val="4"/>
          <c:tx>
            <c:strRef>
              <c:f>'6 Public Non-Charter Urbanicity'!$H$10</c:f>
              <c:strCache>
                <c:ptCount val="1"/>
                <c:pt idx="0">
                  <c:v>In-state</c:v>
                </c:pt>
              </c:strCache>
            </c:strRef>
          </c:tx>
          <c:invertIfNegative val="0"/>
          <c:dLbls>
            <c:dLbl>
              <c:idx val="5"/>
              <c:delete val="1"/>
              <c:extLst>
                <c:ext xmlns:c15="http://schemas.microsoft.com/office/drawing/2012/chart" uri="{CE6537A1-D6FC-4f65-9D91-7224C49458BB}"/>
                <c:ext xmlns:c16="http://schemas.microsoft.com/office/drawing/2014/chart" uri="{C3380CC4-5D6E-409C-BE32-E72D297353CC}">
                  <c16:uniqueId val="{00000006-2CC3-4541-B72E-E0389EEC62BF}"/>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'6 Public Non-Charter Urbanicity'!$A$11:$A$13</c:f>
              <c:numCache>
                <c:formatCode>0</c:formatCode>
                <c:ptCount val="3"/>
                <c:pt idx="0">
                  <c:v>2024</c:v>
                </c:pt>
                <c:pt idx="1">
                  <c:v>2025</c:v>
                </c:pt>
              </c:numCache>
            </c:numRef>
          </c:cat>
          <c:val>
            <c:numRef>
              <c:f>'6 Public Non-Charter Urbanicity'!$AH$5:$AH$12</c:f>
              <c:numCache>
                <c:formatCode>General</c:formatCode>
                <c:ptCount val="8"/>
                <c:pt idx="5">
                  <c:v>0</c:v>
                </c:pt>
                <c:pt idx="6" formatCode="0.0%">
                  <c:v>0.43925983285605752</c:v>
                </c:pt>
                <c:pt idx="7" formatCode="0.0%">
                  <c:v>0.43829381013713159</c:v>
                </c:pt>
              </c:numCache>
            </c:numRef>
          </c:val>
          <c:extLst>
            <c:ext xmlns:c16="http://schemas.microsoft.com/office/drawing/2014/chart" uri="{C3380CC4-5D6E-409C-BE32-E72D297353CC}">
              <c16:uniqueId val="{00000007-2CC3-4541-B72E-E0389EEC62BF}"/>
            </c:ext>
          </c:extLst>
        </c:ser>
        <c:ser>
          <c:idx val="5"/>
          <c:order val="5"/>
          <c:tx>
            <c:strRef>
              <c:f>'6 Public Non-Charter Urbanicity'!$I$10</c:f>
              <c:strCache>
                <c:ptCount val="1"/>
                <c:pt idx="0">
                  <c:v>Out-of-state</c:v>
                </c:pt>
              </c:strCache>
            </c:strRef>
          </c:tx>
          <c:invertIfNegative val="0"/>
          <c:dLbls>
            <c:dLbl>
              <c:idx val="5"/>
              <c:delete val="1"/>
              <c:extLst>
                <c:ext xmlns:c15="http://schemas.microsoft.com/office/drawing/2012/chart" uri="{CE6537A1-D6FC-4f65-9D91-7224C49458BB}"/>
                <c:ext xmlns:c16="http://schemas.microsoft.com/office/drawing/2014/chart" uri="{C3380CC4-5D6E-409C-BE32-E72D297353CC}">
                  <c16:uniqueId val="{00000008-2CC3-4541-B72E-E0389EEC62BF}"/>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'6 Public Non-Charter Urbanicity'!$A$11:$A$13</c:f>
              <c:numCache>
                <c:formatCode>0</c:formatCode>
                <c:ptCount val="3"/>
                <c:pt idx="0">
                  <c:v>2024</c:v>
                </c:pt>
                <c:pt idx="1">
                  <c:v>2025</c:v>
                </c:pt>
              </c:numCache>
            </c:numRef>
          </c:cat>
          <c:val>
            <c:numRef>
              <c:f>'6 Public Non-Charter Urbanicity'!$AI$5:$AI$12</c:f>
              <c:numCache>
                <c:formatCode>General</c:formatCode>
                <c:ptCount val="8"/>
                <c:pt idx="5">
                  <c:v>0</c:v>
                </c:pt>
                <c:pt idx="6" formatCode="0.0%">
                  <c:v>9.5158085442113266E-2</c:v>
                </c:pt>
                <c:pt idx="7" formatCode="0.0%">
                  <c:v>9.3320706114099553E-2</c:v>
                </c:pt>
              </c:numCache>
            </c:numRef>
          </c:val>
          <c:extLst>
            <c:ext xmlns:c16="http://schemas.microsoft.com/office/drawing/2014/chart" uri="{C3380CC4-5D6E-409C-BE32-E72D297353CC}">
              <c16:uniqueId val="{00000009-2CC3-4541-B72E-E0389EEC62BF}"/>
            </c:ext>
          </c:extLst>
        </c:ser>
        <c:dLbls>
          <c:dLblPos val="ctr"/>
          <c:showLegendKey val="0"/>
          <c:showVal val="1"/>
          <c:showCatName val="0"/>
          <c:showSerName val="0"/>
          <c:showPercent val="0"/>
          <c:showBubbleSize val="0"/>
        </c:dLbls>
        <c:gapWidth val="35"/>
        <c:overlap val="100"/>
        <c:axId val="500272368"/>
        <c:axId val="500269624"/>
      </c:barChart>
      <c:catAx>
        <c:axId val="500272368"/>
        <c:scaling>
          <c:orientation val="minMax"/>
        </c:scaling>
        <c:delete val="0"/>
        <c:axPos val="b"/>
        <c:numFmt formatCode="0" sourceLinked="1"/>
        <c:majorTickMark val="none"/>
        <c:minorTickMark val="none"/>
        <c:tickLblPos val="nextTo"/>
        <c:crossAx val="500269624"/>
        <c:crosses val="autoZero"/>
        <c:auto val="1"/>
        <c:lblAlgn val="ctr"/>
        <c:lblOffset val="100"/>
        <c:noMultiLvlLbl val="0"/>
      </c:catAx>
      <c:valAx>
        <c:axId val="500269624"/>
        <c:scaling>
          <c:orientation val="minMax"/>
          <c:max val="1"/>
        </c:scaling>
        <c:delete val="0"/>
        <c:axPos val="l"/>
        <c:majorGridlines/>
        <c:numFmt formatCode="0%" sourceLinked="0"/>
        <c:majorTickMark val="none"/>
        <c:minorTickMark val="none"/>
        <c:tickLblPos val="nextTo"/>
        <c:spPr>
          <a:ln w="9525">
            <a:noFill/>
          </a:ln>
        </c:spPr>
        <c:crossAx val="500272368"/>
        <c:crosses val="autoZero"/>
        <c:crossBetween val="between"/>
        <c:majorUnit val="0.1"/>
      </c:valAx>
    </c:plotArea>
    <c:legend>
      <c:legendPos val="b"/>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'6 Public Non-Charter Urbanicity'!$A$44</c:f>
              <c:strCache>
                <c:ptCount val="1"/>
                <c:pt idx="0">
                  <c:v>2022</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'6 Public Non-Charter Urbanicity'!$P$43:$V$43</c:f>
              <c:strCache>
                <c:ptCount val="7"/>
                <c:pt idx="0">
                  <c:v>Total</c:v>
                </c:pt>
                <c:pt idx="1">
                  <c:v>Public</c:v>
                </c:pt>
                <c:pt idx="2">
                  <c:v>Private</c:v>
                </c:pt>
                <c:pt idx="3">
                  <c:v>Two-year</c:v>
                </c:pt>
                <c:pt idx="4">
                  <c:v>Four-year</c:v>
                </c:pt>
                <c:pt idx="5">
                  <c:v>In-state</c:v>
                </c:pt>
                <c:pt idx="6">
                  <c:v>Out-of-state</c:v>
                </c:pt>
              </c:strCache>
            </c:strRef>
          </c:cat>
          <c:val>
            <c:numRef>
              <c:f>'6 Public Non-Charter Urbanicity'!$AC$44:$AI$44</c:f>
              <c:numCache>
                <c:formatCode>0.0%</c:formatCode>
                <c:ptCount val="7"/>
                <c:pt idx="0">
                  <c:v>0.80894162619267307</c:v>
                </c:pt>
                <c:pt idx="1">
                  <c:v>0.79527196081701967</c:v>
                </c:pt>
                <c:pt idx="2">
                  <c:v>0.8785459487005266</c:v>
                </c:pt>
                <c:pt idx="3">
                  <c:v>0.68033602456220155</c:v>
                </c:pt>
                <c:pt idx="4">
                  <c:v>0.88024256466026762</c:v>
                </c:pt>
                <c:pt idx="5">
                  <c:v>0.7936967929302372</c:v>
                </c:pt>
                <c:pt idx="6">
                  <c:v>0.87543492443187998</c:v>
                </c:pt>
              </c:numCache>
            </c:numRef>
          </c:val>
          <c:extLst>
            <c:ext xmlns:c16="http://schemas.microsoft.com/office/drawing/2014/chart" uri="{C3380CC4-5D6E-409C-BE32-E72D297353CC}">
              <c16:uniqueId val="{00000000-4F37-4870-BAC8-E49E54581FEF}"/>
            </c:ext>
          </c:extLst>
        </c:ser>
        <c:ser>
          <c:idx val="1"/>
          <c:order val="1"/>
          <c:tx>
            <c:strRef>
              <c:f>'6 Public Non-Charter Urbanicity'!$A$45</c:f>
              <c:strCache>
                <c:ptCount val="1"/>
                <c:pt idx="0">
                  <c:v>2023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'6 Public Non-Charter Urbanicity'!$P$43:$V$43</c:f>
              <c:strCache>
                <c:ptCount val="7"/>
                <c:pt idx="0">
                  <c:v>Total</c:v>
                </c:pt>
                <c:pt idx="1">
                  <c:v>Public</c:v>
                </c:pt>
                <c:pt idx="2">
                  <c:v>Private</c:v>
                </c:pt>
                <c:pt idx="3">
                  <c:v>Two-year</c:v>
                </c:pt>
                <c:pt idx="4">
                  <c:v>Four-year</c:v>
                </c:pt>
                <c:pt idx="5">
                  <c:v>In-state</c:v>
                </c:pt>
                <c:pt idx="6">
                  <c:v>Out-of-state</c:v>
                </c:pt>
              </c:strCache>
            </c:strRef>
          </c:cat>
          <c:val>
            <c:numRef>
              <c:f>'6 Public Non-Charter Urbanicity'!$AC$45:$AI$45</c:f>
              <c:numCache>
                <c:formatCode>0.0%</c:formatCode>
                <c:ptCount val="7"/>
                <c:pt idx="0">
                  <c:v>0.81704145517348714</c:v>
                </c:pt>
                <c:pt idx="1">
                  <c:v>0.80392906991688162</c:v>
                </c:pt>
                <c:pt idx="2">
                  <c:v>0.88583300666405329</c:v>
                </c:pt>
                <c:pt idx="3">
                  <c:v>0.69302456933069756</c:v>
                </c:pt>
                <c:pt idx="4">
                  <c:v>0.88546576399005916</c:v>
                </c:pt>
                <c:pt idx="5">
                  <c:v>0.80279145537835916</c:v>
                </c:pt>
                <c:pt idx="6">
                  <c:v>0.88186376932720434</c:v>
                </c:pt>
              </c:numCache>
            </c:numRef>
          </c:val>
          <c:extLst>
            <c:ext xmlns:c16="http://schemas.microsoft.com/office/drawing/2014/chart" uri="{C3380CC4-5D6E-409C-BE32-E72D297353CC}">
              <c16:uniqueId val="{00000001-4F37-4870-BAC8-E49E54581FEF}"/>
            </c:ext>
          </c:extLst>
        </c:ser>
        <c:dLbls>
          <c:dLblPos val="outEnd"/>
          <c:showLegendKey val="0"/>
          <c:showVal val="1"/>
          <c:showCatName val="0"/>
          <c:showSerName val="0"/>
          <c:showPercent val="0"/>
          <c:showBubbleSize val="0"/>
        </c:dLbls>
        <c:gapWidth val="122"/>
        <c:overlap val="-27"/>
        <c:axId val="450104607"/>
        <c:axId val="450102207"/>
      </c:barChart>
      <c:catAx>
        <c:axId val="45010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0102207"/>
        <c:crosses val="autoZero"/>
        <c:auto val="1"/>
        <c:lblAlgn val="ctr"/>
        <c:lblOffset val="100"/>
        <c:noMultiLvlLbl val="0"/>
      </c:catAx>
      <c:valAx>
        <c:axId val="450102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0104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'9 Income Trend Adjustment'!$B$6</c:f>
              <c:strCache>
                <c:ptCount val="1"/>
                <c:pt idx="0">
                  <c:v>N Schools in NSC</c:v>
                </c:pt>
              </c:strCache>
            </c:strRef>
          </c:tx>
          <c:spPr>
            <a:ln w="28575" cap="rnd">
              <a:solidFill>
                <a:schemeClr val="accent1"/>
              </a:solidFill>
              <a:round/>
            </a:ln>
            <a:effectLst/>
          </c:spPr>
          <c:marker>
            <c:symbol val="none"/>
          </c:marker>
          <c:dLbls>
            <c:dLbl>
              <c:idx val="0"/>
              <c:layout>
                <c:manualLayout>
                  <c:x val="-8.3333333333333592E-3"/>
                  <c:y val="3.24074074074074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BA8-46C3-A64B-E34567E247B6}"/>
                </c:ext>
              </c:extLst>
            </c:dLbl>
            <c:dLbl>
              <c:idx val="1"/>
              <c:layout>
                <c:manualLayout>
                  <c:x val="-1.6666666666666718E-2"/>
                  <c:y val="-3.24074074074073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BA8-46C3-A64B-E34567E247B6}"/>
                </c:ext>
              </c:extLst>
            </c:dLbl>
            <c:dLbl>
              <c:idx val="2"/>
              <c:layout>
                <c:manualLayout>
                  <c:x val="-5.5555555555555558E-3"/>
                  <c:y val="3.70370370370369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BA8-46C3-A64B-E34567E247B6}"/>
                </c:ext>
              </c:extLst>
            </c:dLbl>
            <c:dLbl>
              <c:idx val="3"/>
              <c:layout>
                <c:manualLayout>
                  <c:x val="0"/>
                  <c:y val="3.24074074074074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BA8-46C3-A64B-E34567E247B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Income Trend Adjustment'!$A$7:$A$11</c:f>
              <c:strCache>
                <c:ptCount val="5"/>
                <c:pt idx="0">
                  <c:v>Class of 2019</c:v>
                </c:pt>
                <c:pt idx="1">
                  <c:v>Class of 2022</c:v>
                </c:pt>
                <c:pt idx="2">
                  <c:v>Class of 2023</c:v>
                </c:pt>
                <c:pt idx="3">
                  <c:v>Class of 2024</c:v>
                </c:pt>
                <c:pt idx="4">
                  <c:v>Class of 2025</c:v>
                </c:pt>
              </c:strCache>
            </c:strRef>
          </c:cat>
          <c:val>
            <c:numRef>
              <c:f>'9 Income Trend Adjustment'!$B$7:$B$11</c:f>
              <c:numCache>
                <c:formatCode>#,##0</c:formatCode>
                <c:ptCount val="5"/>
                <c:pt idx="0">
                  <c:v>4716</c:v>
                </c:pt>
                <c:pt idx="1">
                  <c:v>4008</c:v>
                </c:pt>
                <c:pt idx="2">
                  <c:v>5451</c:v>
                </c:pt>
                <c:pt idx="3">
                  <c:v>5701</c:v>
                </c:pt>
                <c:pt idx="4">
                  <c:v>5179</c:v>
                </c:pt>
              </c:numCache>
            </c:numRef>
          </c:val>
          <c:smooth val="0"/>
          <c:extLst>
            <c:ext xmlns:c16="http://schemas.microsoft.com/office/drawing/2014/chart" uri="{C3380CC4-5D6E-409C-BE32-E72D297353CC}">
              <c16:uniqueId val="{00000000-BBA8-46C3-A64B-E34567E247B6}"/>
            </c:ext>
          </c:extLst>
        </c:ser>
        <c:ser>
          <c:idx val="1"/>
          <c:order val="1"/>
          <c:tx>
            <c:strRef>
              <c:f>'9 Income Trend Adjustment'!$C$6</c:f>
              <c:strCache>
                <c:ptCount val="1"/>
                <c:pt idx="0">
                  <c:v>N Schools in NCES</c:v>
                </c:pt>
              </c:strCache>
            </c:strRef>
          </c:tx>
          <c:spPr>
            <a:ln w="28575" cap="rnd">
              <a:solidFill>
                <a:schemeClr val="accent2"/>
              </a:solidFill>
              <a:round/>
            </a:ln>
            <a:effectLst/>
          </c:spPr>
          <c:marker>
            <c:symbol val="none"/>
          </c:marker>
          <c:dLbls>
            <c:dLbl>
              <c:idx val="0"/>
              <c:layout>
                <c:manualLayout>
                  <c:x val="-4.166666666666672E-2"/>
                  <c:y val="3.70370370370370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BA8-46C3-A64B-E34567E247B6}"/>
                </c:ext>
              </c:extLst>
            </c:dLbl>
            <c:dLbl>
              <c:idx val="2"/>
              <c:layout>
                <c:manualLayout>
                  <c:x val="-1.3888888888888888E-2"/>
                  <c:y val="4.16666666666666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BA8-46C3-A64B-E34567E247B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Income Trend Adjustment'!$A$7:$A$11</c:f>
              <c:strCache>
                <c:ptCount val="5"/>
                <c:pt idx="0">
                  <c:v>Class of 2019</c:v>
                </c:pt>
                <c:pt idx="1">
                  <c:v>Class of 2022</c:v>
                </c:pt>
                <c:pt idx="2">
                  <c:v>Class of 2023</c:v>
                </c:pt>
                <c:pt idx="3">
                  <c:v>Class of 2024</c:v>
                </c:pt>
                <c:pt idx="4">
                  <c:v>Class of 2025</c:v>
                </c:pt>
              </c:strCache>
            </c:strRef>
          </c:cat>
          <c:val>
            <c:numRef>
              <c:f>'9 Income Trend Adjustment'!$C$7:$C$11</c:f>
              <c:numCache>
                <c:formatCode>#,##0</c:formatCode>
                <c:ptCount val="5"/>
                <c:pt idx="0">
                  <c:v>7056</c:v>
                </c:pt>
                <c:pt idx="1">
                  <c:v>5919</c:v>
                </c:pt>
                <c:pt idx="2">
                  <c:v>7713</c:v>
                </c:pt>
                <c:pt idx="3">
                  <c:v>8212</c:v>
                </c:pt>
                <c:pt idx="4">
                  <c:v>7827</c:v>
                </c:pt>
              </c:numCache>
            </c:numRef>
          </c:val>
          <c:smooth val="0"/>
          <c:extLst>
            <c:ext xmlns:c16="http://schemas.microsoft.com/office/drawing/2014/chart" uri="{C3380CC4-5D6E-409C-BE32-E72D297353CC}">
              <c16:uniqueId val="{00000001-BBA8-46C3-A64B-E34567E247B6}"/>
            </c:ext>
          </c:extLst>
        </c:ser>
        <c:dLbls>
          <c:showLegendKey val="0"/>
          <c:showVal val="0"/>
          <c:showCatName val="0"/>
          <c:showSerName val="0"/>
          <c:showPercent val="0"/>
          <c:showBubbleSize val="0"/>
        </c:dLbls>
        <c:smooth val="0"/>
        <c:axId val="431597759"/>
        <c:axId val="431598719"/>
      </c:lineChart>
      <c:catAx>
        <c:axId val="43159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1598719"/>
        <c:crosses val="autoZero"/>
        <c:auto val="1"/>
        <c:lblAlgn val="ctr"/>
        <c:lblOffset val="100"/>
        <c:noMultiLvlLbl val="0"/>
      </c:catAx>
      <c:valAx>
        <c:axId val="43159871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15977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'9 Income Trend Adjustment'!$N$6</c:f>
              <c:strCache>
                <c:ptCount val="1"/>
                <c:pt idx="0">
                  <c:v>N Schools in NSC</c:v>
                </c:pt>
              </c:strCache>
            </c:strRef>
          </c:tx>
          <c:spPr>
            <a:ln w="28575" cap="rnd">
              <a:solidFill>
                <a:schemeClr val="accent1"/>
              </a:solidFill>
              <a:round/>
            </a:ln>
            <a:effectLst/>
          </c:spPr>
          <c:marker>
            <c:symbol val="none"/>
          </c:marker>
          <c:dLbls>
            <c:dLbl>
              <c:idx val="0"/>
              <c:layout>
                <c:manualLayout>
                  <c:x val="-3.3333333333333361E-2"/>
                  <c:y val="2.7777777777777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C8A-4C43-8EC5-2F83F9C08BA0}"/>
                </c:ext>
              </c:extLst>
            </c:dLbl>
            <c:dLbl>
              <c:idx val="1"/>
              <c:layout>
                <c:manualLayout>
                  <c:x val="-1.6666666666666666E-2"/>
                  <c:y val="1.85185185185185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C8A-4C43-8EC5-2F83F9C08BA0}"/>
                </c:ext>
              </c:extLst>
            </c:dLbl>
            <c:dLbl>
              <c:idx val="2"/>
              <c:layout>
                <c:manualLayout>
                  <c:x val="-1.6666666666666666E-2"/>
                  <c:y val="-3.24074074074073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C8A-4C43-8EC5-2F83F9C08BA0}"/>
                </c:ext>
              </c:extLst>
            </c:dLbl>
            <c:dLbl>
              <c:idx val="3"/>
              <c:layout>
                <c:manualLayout>
                  <c:x val="-2.7777777777777776E-2"/>
                  <c:y val="-3.70370370370370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C8A-4C43-8EC5-2F83F9C08BA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Income Trend Adjustment'!$A$7:$A$11</c:f>
              <c:strCache>
                <c:ptCount val="5"/>
                <c:pt idx="0">
                  <c:v>Class of 2019</c:v>
                </c:pt>
                <c:pt idx="1">
                  <c:v>Class of 2022</c:v>
                </c:pt>
                <c:pt idx="2">
                  <c:v>Class of 2023</c:v>
                </c:pt>
                <c:pt idx="3">
                  <c:v>Class of 2024</c:v>
                </c:pt>
                <c:pt idx="4">
                  <c:v>Class of 2025</c:v>
                </c:pt>
              </c:strCache>
            </c:strRef>
          </c:cat>
          <c:val>
            <c:numRef>
              <c:f>'9 Income Trend Adjustment'!$N$7:$N$11</c:f>
              <c:numCache>
                <c:formatCode>#,##0</c:formatCode>
                <c:ptCount val="5"/>
                <c:pt idx="0">
                  <c:v>7497</c:v>
                </c:pt>
                <c:pt idx="1">
                  <c:v>8744</c:v>
                </c:pt>
                <c:pt idx="2">
                  <c:v>7380</c:v>
                </c:pt>
                <c:pt idx="3">
                  <c:v>7115</c:v>
                </c:pt>
                <c:pt idx="4">
                  <c:v>6844</c:v>
                </c:pt>
              </c:numCache>
            </c:numRef>
          </c:val>
          <c:smooth val="0"/>
          <c:extLst>
            <c:ext xmlns:c16="http://schemas.microsoft.com/office/drawing/2014/chart" uri="{C3380CC4-5D6E-409C-BE32-E72D297353CC}">
              <c16:uniqueId val="{00000000-7C8A-4C43-8EC5-2F83F9C08BA0}"/>
            </c:ext>
          </c:extLst>
        </c:ser>
        <c:ser>
          <c:idx val="1"/>
          <c:order val="1"/>
          <c:tx>
            <c:strRef>
              <c:f>'9 Income Trend Adjustment'!$O$6</c:f>
              <c:strCache>
                <c:ptCount val="1"/>
                <c:pt idx="0">
                  <c:v>N Schools in NCES</c:v>
                </c:pt>
              </c:strCache>
            </c:strRef>
          </c:tx>
          <c:spPr>
            <a:ln w="28575" cap="rnd">
              <a:solidFill>
                <a:schemeClr val="accent2"/>
              </a:solidFill>
              <a:round/>
            </a:ln>
            <a:effectLst/>
          </c:spPr>
          <c:marker>
            <c:symbol val="none"/>
          </c:marker>
          <c:dLbls>
            <c:dLbl>
              <c:idx val="0"/>
              <c:layout>
                <c:manualLayout>
                  <c:x val="-4.1666666666666664E-2"/>
                  <c:y val="2.7777777777777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C8A-4C43-8EC5-2F83F9C08BA0}"/>
                </c:ext>
              </c:extLst>
            </c:dLbl>
            <c:dLbl>
              <c:idx val="1"/>
              <c:layout>
                <c:manualLayout>
                  <c:x val="-2.2222222222222223E-2"/>
                  <c:y val="2.7777777777777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C8A-4C43-8EC5-2F83F9C08BA0}"/>
                </c:ext>
              </c:extLst>
            </c:dLbl>
            <c:dLbl>
              <c:idx val="2"/>
              <c:layout>
                <c:manualLayout>
                  <c:x val="-3.6111111111111108E-2"/>
                  <c:y val="-3.70370370370370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C8A-4C43-8EC5-2F83F9C08BA0}"/>
                </c:ext>
              </c:extLst>
            </c:dLbl>
            <c:dLbl>
              <c:idx val="3"/>
              <c:layout>
                <c:manualLayout>
                  <c:x val="-2.5000000000000102E-2"/>
                  <c:y val="-3.24074074074074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C8A-4C43-8EC5-2F83F9C08BA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Income Trend Adjustment'!$A$7:$A$11</c:f>
              <c:strCache>
                <c:ptCount val="5"/>
                <c:pt idx="0">
                  <c:v>Class of 2019</c:v>
                </c:pt>
                <c:pt idx="1">
                  <c:v>Class of 2022</c:v>
                </c:pt>
                <c:pt idx="2">
                  <c:v>Class of 2023</c:v>
                </c:pt>
                <c:pt idx="3">
                  <c:v>Class of 2024</c:v>
                </c:pt>
                <c:pt idx="4">
                  <c:v>Class of 2025</c:v>
                </c:pt>
              </c:strCache>
            </c:strRef>
          </c:cat>
          <c:val>
            <c:numRef>
              <c:f>'9 Income Trend Adjustment'!$O$7:$O$11</c:f>
              <c:numCache>
                <c:formatCode>#,##0</c:formatCode>
                <c:ptCount val="5"/>
                <c:pt idx="0">
                  <c:v>10077</c:v>
                </c:pt>
                <c:pt idx="1">
                  <c:v>11463</c:v>
                </c:pt>
                <c:pt idx="2">
                  <c:v>9731</c:v>
                </c:pt>
                <c:pt idx="3">
                  <c:v>9248</c:v>
                </c:pt>
                <c:pt idx="4">
                  <c:v>9638</c:v>
                </c:pt>
              </c:numCache>
            </c:numRef>
          </c:val>
          <c:smooth val="0"/>
          <c:extLst>
            <c:ext xmlns:c16="http://schemas.microsoft.com/office/drawing/2014/chart" uri="{C3380CC4-5D6E-409C-BE32-E72D297353CC}">
              <c16:uniqueId val="{00000001-7C8A-4C43-8EC5-2F83F9C08BA0}"/>
            </c:ext>
          </c:extLst>
        </c:ser>
        <c:dLbls>
          <c:showLegendKey val="0"/>
          <c:showVal val="0"/>
          <c:showCatName val="0"/>
          <c:showSerName val="0"/>
          <c:showPercent val="0"/>
          <c:showBubbleSize val="0"/>
        </c:dLbls>
        <c:smooth val="0"/>
        <c:axId val="431597759"/>
        <c:axId val="431598719"/>
      </c:lineChart>
      <c:catAx>
        <c:axId val="43159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1598719"/>
        <c:crosses val="autoZero"/>
        <c:auto val="1"/>
        <c:lblAlgn val="ctr"/>
        <c:lblOffset val="100"/>
        <c:noMultiLvlLbl val="0"/>
      </c:catAx>
      <c:valAx>
        <c:axId val="43159871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15977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'10 Poverty Trend Adjustment'!$B$6</c:f>
              <c:strCache>
                <c:ptCount val="1"/>
                <c:pt idx="0">
                  <c:v>N Schools in NSC</c:v>
                </c:pt>
              </c:strCache>
            </c:strRef>
          </c:tx>
          <c:spPr>
            <a:ln w="28575" cap="rnd">
              <a:solidFill>
                <a:schemeClr val="accent1"/>
              </a:solidFill>
              <a:round/>
            </a:ln>
            <a:effectLst/>
          </c:spPr>
          <c:marker>
            <c:symbol val="none"/>
          </c:marker>
          <c:dLbls>
            <c:dLbl>
              <c:idx val="0"/>
              <c:layout>
                <c:manualLayout>
                  <c:x val="-8.3333333333333592E-3"/>
                  <c:y val="3.24074074074074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FFC-46BE-BB36-65CD9A020410}"/>
                </c:ext>
              </c:extLst>
            </c:dLbl>
            <c:dLbl>
              <c:idx val="1"/>
              <c:layout>
                <c:manualLayout>
                  <c:x val="-1.6666666666666718E-2"/>
                  <c:y val="-3.24074074074073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FFC-46BE-BB36-65CD9A020410}"/>
                </c:ext>
              </c:extLst>
            </c:dLbl>
            <c:dLbl>
              <c:idx val="2"/>
              <c:layout>
                <c:manualLayout>
                  <c:x val="-5.5555555555555558E-3"/>
                  <c:y val="3.70370370370369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FC-46BE-BB36-65CD9A020410}"/>
                </c:ext>
              </c:extLst>
            </c:dLbl>
            <c:dLbl>
              <c:idx val="3"/>
              <c:layout>
                <c:manualLayout>
                  <c:x val="0"/>
                  <c:y val="3.24074074074074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FFC-46BE-BB36-65CD9A02041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'10 Poverty Trend Adjustment'!$A$7:$A$11</c:f>
              <c:strCache>
                <c:ptCount val="5"/>
                <c:pt idx="0">
                  <c:v>Class of 2019</c:v>
                </c:pt>
                <c:pt idx="1">
                  <c:v>Class of 2022</c:v>
                </c:pt>
                <c:pt idx="2">
                  <c:v>Class of 2023</c:v>
                </c:pt>
                <c:pt idx="3">
                  <c:v>Class of 2024</c:v>
                </c:pt>
                <c:pt idx="4">
                  <c:v>Class of 2025</c:v>
                </c:pt>
              </c:strCache>
            </c:strRef>
          </c:cat>
          <c:val>
            <c:numRef>
              <c:f>'10 Poverty Trend Adjustment'!$B$7:$B$11</c:f>
              <c:numCache>
                <c:formatCode>#,##0</c:formatCode>
                <c:ptCount val="5"/>
                <c:pt idx="0">
                  <c:v>1886</c:v>
                </c:pt>
                <c:pt idx="1">
                  <c:v>1958</c:v>
                </c:pt>
                <c:pt idx="2">
                  <c:v>2478</c:v>
                </c:pt>
                <c:pt idx="3">
                  <c:v>2542</c:v>
                </c:pt>
                <c:pt idx="4">
                  <c:v>2483</c:v>
                </c:pt>
              </c:numCache>
            </c:numRef>
          </c:val>
          <c:smooth val="0"/>
          <c:extLst>
            <c:ext xmlns:c16="http://schemas.microsoft.com/office/drawing/2014/chart" uri="{C3380CC4-5D6E-409C-BE32-E72D297353CC}">
              <c16:uniqueId val="{00000004-3FFC-46BE-BB36-65CD9A020410}"/>
            </c:ext>
          </c:extLst>
        </c:ser>
        <c:ser>
          <c:idx val="1"/>
          <c:order val="1"/>
          <c:tx>
            <c:strRef>
              <c:f>'10 Poverty Trend Adjustment'!$C$6</c:f>
              <c:strCache>
                <c:ptCount val="1"/>
                <c:pt idx="0">
                  <c:v>N Schools in NCES</c:v>
                </c:pt>
              </c:strCache>
            </c:strRef>
          </c:tx>
          <c:spPr>
            <a:ln w="28575" cap="rnd">
              <a:solidFill>
                <a:schemeClr val="accent2"/>
              </a:solidFill>
              <a:round/>
            </a:ln>
            <a:effectLst/>
          </c:spPr>
          <c:marker>
            <c:symbol val="none"/>
          </c:marker>
          <c:dLbls>
            <c:dLbl>
              <c:idx val="0"/>
              <c:layout>
                <c:manualLayout>
                  <c:x val="-4.166666666666672E-2"/>
                  <c:y val="3.70370370370370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FFC-46BE-BB36-65CD9A020410}"/>
                </c:ext>
              </c:extLst>
            </c:dLbl>
            <c:dLbl>
              <c:idx val="2"/>
              <c:layout>
                <c:manualLayout>
                  <c:x val="-1.3888888888888888E-2"/>
                  <c:y val="4.16666666666666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FFC-46BE-BB36-65CD9A02041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'10 Poverty Trend Adjustment'!$A$7:$A$11</c:f>
              <c:strCache>
                <c:ptCount val="5"/>
                <c:pt idx="0">
                  <c:v>Class of 2019</c:v>
                </c:pt>
                <c:pt idx="1">
                  <c:v>Class of 2022</c:v>
                </c:pt>
                <c:pt idx="2">
                  <c:v>Class of 2023</c:v>
                </c:pt>
                <c:pt idx="3">
                  <c:v>Class of 2024</c:v>
                </c:pt>
                <c:pt idx="4">
                  <c:v>Class of 2025</c:v>
                </c:pt>
              </c:strCache>
            </c:strRef>
          </c:cat>
          <c:val>
            <c:numRef>
              <c:f>'10 Poverty Trend Adjustment'!$C$7:$C$11</c:f>
              <c:numCache>
                <c:formatCode>#,##0</c:formatCode>
                <c:ptCount val="5"/>
                <c:pt idx="0">
                  <c:v>2850</c:v>
                </c:pt>
                <c:pt idx="1">
                  <c:v>2640</c:v>
                </c:pt>
                <c:pt idx="2">
                  <c:v>3340</c:v>
                </c:pt>
                <c:pt idx="3">
                  <c:v>3530</c:v>
                </c:pt>
                <c:pt idx="4">
                  <c:v>3601</c:v>
                </c:pt>
              </c:numCache>
            </c:numRef>
          </c:val>
          <c:smooth val="0"/>
          <c:extLst>
            <c:ext xmlns:c16="http://schemas.microsoft.com/office/drawing/2014/chart" uri="{C3380CC4-5D6E-409C-BE32-E72D297353CC}">
              <c16:uniqueId val="{00000007-3FFC-46BE-BB36-65CD9A020410}"/>
            </c:ext>
          </c:extLst>
        </c:ser>
        <c:dLbls>
          <c:showLegendKey val="0"/>
          <c:showVal val="0"/>
          <c:showCatName val="0"/>
          <c:showSerName val="0"/>
          <c:showPercent val="0"/>
          <c:showBubbleSize val="0"/>
        </c:dLbls>
        <c:smooth val="0"/>
        <c:axId val="431597759"/>
        <c:axId val="431598719"/>
      </c:lineChart>
      <c:catAx>
        <c:axId val="43159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1598719"/>
        <c:crosses val="autoZero"/>
        <c:auto val="1"/>
        <c:lblAlgn val="ctr"/>
        <c:lblOffset val="100"/>
        <c:noMultiLvlLbl val="0"/>
      </c:catAx>
      <c:valAx>
        <c:axId val="43159871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15977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'10 Poverty Trend Adjustment'!$N$6</c:f>
              <c:strCache>
                <c:ptCount val="1"/>
                <c:pt idx="0">
                  <c:v>N Schools in NSC</c:v>
                </c:pt>
              </c:strCache>
            </c:strRef>
          </c:tx>
          <c:spPr>
            <a:ln w="28575" cap="rnd">
              <a:solidFill>
                <a:schemeClr val="accent1"/>
              </a:solidFill>
              <a:round/>
            </a:ln>
            <a:effectLst/>
          </c:spPr>
          <c:marker>
            <c:symbol val="none"/>
          </c:marker>
          <c:dLbls>
            <c:dLbl>
              <c:idx val="0"/>
              <c:layout>
                <c:manualLayout>
                  <c:x val="-3.3333333333333361E-2"/>
                  <c:y val="2.7777777777777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F8C-4662-BE82-1DB93D5AEE83}"/>
                </c:ext>
              </c:extLst>
            </c:dLbl>
            <c:dLbl>
              <c:idx val="1"/>
              <c:layout>
                <c:manualLayout>
                  <c:x val="-1.6666666666666666E-2"/>
                  <c:y val="1.85185185185185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F8C-4662-BE82-1DB93D5AEE83}"/>
                </c:ext>
              </c:extLst>
            </c:dLbl>
            <c:dLbl>
              <c:idx val="2"/>
              <c:layout>
                <c:manualLayout>
                  <c:x val="-1.6666666666666666E-2"/>
                  <c:y val="-3.24074074074073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F8C-4662-BE82-1DB93D5AEE83}"/>
                </c:ext>
              </c:extLst>
            </c:dLbl>
            <c:dLbl>
              <c:idx val="3"/>
              <c:layout>
                <c:manualLayout>
                  <c:x val="-2.7777777777777776E-2"/>
                  <c:y val="-3.70370370370370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F8C-4662-BE82-1DB93D5AEE8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'10 Poverty Trend Adjustment'!$A$7:$A$11</c:f>
              <c:strCache>
                <c:ptCount val="5"/>
                <c:pt idx="0">
                  <c:v>Class of 2019</c:v>
                </c:pt>
                <c:pt idx="1">
                  <c:v>Class of 2022</c:v>
                </c:pt>
                <c:pt idx="2">
                  <c:v>Class of 2023</c:v>
                </c:pt>
                <c:pt idx="3">
                  <c:v>Class of 2024</c:v>
                </c:pt>
                <c:pt idx="4">
                  <c:v>Class of 2025</c:v>
                </c:pt>
              </c:strCache>
            </c:strRef>
          </c:cat>
          <c:val>
            <c:numRef>
              <c:f>'10 Poverty Trend Adjustment'!$N$7:$N$11</c:f>
              <c:numCache>
                <c:formatCode>#,##0</c:formatCode>
                <c:ptCount val="5"/>
                <c:pt idx="0">
                  <c:v>2309</c:v>
                </c:pt>
                <c:pt idx="1">
                  <c:v>2566</c:v>
                </c:pt>
                <c:pt idx="2">
                  <c:v>1998</c:v>
                </c:pt>
                <c:pt idx="3">
                  <c:v>1652</c:v>
                </c:pt>
                <c:pt idx="4">
                  <c:v>1542</c:v>
                </c:pt>
              </c:numCache>
            </c:numRef>
          </c:val>
          <c:smooth val="0"/>
          <c:extLst>
            <c:ext xmlns:c16="http://schemas.microsoft.com/office/drawing/2014/chart" uri="{C3380CC4-5D6E-409C-BE32-E72D297353CC}">
              <c16:uniqueId val="{00000004-AF8C-4662-BE82-1DB93D5AEE83}"/>
            </c:ext>
          </c:extLst>
        </c:ser>
        <c:ser>
          <c:idx val="1"/>
          <c:order val="1"/>
          <c:tx>
            <c:strRef>
              <c:f>'10 Poverty Trend Adjustment'!$O$6</c:f>
              <c:strCache>
                <c:ptCount val="1"/>
                <c:pt idx="0">
                  <c:v>N Schools in NCES</c:v>
                </c:pt>
              </c:strCache>
            </c:strRef>
          </c:tx>
          <c:spPr>
            <a:ln w="28575" cap="rnd">
              <a:solidFill>
                <a:schemeClr val="accent2"/>
              </a:solidFill>
              <a:round/>
            </a:ln>
            <a:effectLst/>
          </c:spPr>
          <c:marker>
            <c:symbol val="none"/>
          </c:marker>
          <c:dLbls>
            <c:dLbl>
              <c:idx val="0"/>
              <c:layout>
                <c:manualLayout>
                  <c:x val="-4.1666666666666664E-2"/>
                  <c:y val="2.7777777777777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F8C-4662-BE82-1DB93D5AEE83}"/>
                </c:ext>
              </c:extLst>
            </c:dLbl>
            <c:dLbl>
              <c:idx val="1"/>
              <c:layout>
                <c:manualLayout>
                  <c:x val="-2.2222222222222223E-2"/>
                  <c:y val="2.7777777777777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F8C-4662-BE82-1DB93D5AEE83}"/>
                </c:ext>
              </c:extLst>
            </c:dLbl>
            <c:dLbl>
              <c:idx val="2"/>
              <c:layout>
                <c:manualLayout>
                  <c:x val="-3.6111111111111108E-2"/>
                  <c:y val="-3.70370370370370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F8C-4662-BE82-1DB93D5AEE83}"/>
                </c:ext>
              </c:extLst>
            </c:dLbl>
            <c:dLbl>
              <c:idx val="3"/>
              <c:layout>
                <c:manualLayout>
                  <c:x val="-2.5000000000000102E-2"/>
                  <c:y val="-3.24074074074074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F8C-4662-BE82-1DB93D5AEE8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'10 Poverty Trend Adjustment'!$A$7:$A$11</c:f>
              <c:strCache>
                <c:ptCount val="5"/>
                <c:pt idx="0">
                  <c:v>Class of 2019</c:v>
                </c:pt>
                <c:pt idx="1">
                  <c:v>Class of 2022</c:v>
                </c:pt>
                <c:pt idx="2">
                  <c:v>Class of 2023</c:v>
                </c:pt>
                <c:pt idx="3">
                  <c:v>Class of 2024</c:v>
                </c:pt>
                <c:pt idx="4">
                  <c:v>Class of 2025</c:v>
                </c:pt>
              </c:strCache>
            </c:strRef>
          </c:cat>
          <c:val>
            <c:numRef>
              <c:f>'10 Poverty Trend Adjustment'!$O$7:$O$11</c:f>
              <c:numCache>
                <c:formatCode>#,##0</c:formatCode>
                <c:ptCount val="5"/>
                <c:pt idx="0">
                  <c:v>2863</c:v>
                </c:pt>
                <c:pt idx="1">
                  <c:v>3091</c:v>
                </c:pt>
                <c:pt idx="2">
                  <c:v>2411</c:v>
                </c:pt>
                <c:pt idx="3">
                  <c:v>1984</c:v>
                </c:pt>
                <c:pt idx="4">
                  <c:v>2007</c:v>
                </c:pt>
              </c:numCache>
            </c:numRef>
          </c:val>
          <c:smooth val="0"/>
          <c:extLst>
            <c:ext xmlns:c16="http://schemas.microsoft.com/office/drawing/2014/chart" uri="{C3380CC4-5D6E-409C-BE32-E72D297353CC}">
              <c16:uniqueId val="{00000009-AF8C-4662-BE82-1DB93D5AEE83}"/>
            </c:ext>
          </c:extLst>
        </c:ser>
        <c:dLbls>
          <c:showLegendKey val="0"/>
          <c:showVal val="0"/>
          <c:showCatName val="0"/>
          <c:showSerName val="0"/>
          <c:showPercent val="0"/>
          <c:showBubbleSize val="0"/>
        </c:dLbls>
        <c:smooth val="0"/>
        <c:axId val="431597759"/>
        <c:axId val="431598719"/>
      </c:lineChart>
      <c:catAx>
        <c:axId val="43159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1598719"/>
        <c:crosses val="autoZero"/>
        <c:auto val="1"/>
        <c:lblAlgn val="ctr"/>
        <c:lblOffset val="100"/>
        <c:noMultiLvlLbl val="0"/>
      </c:catAx>
      <c:valAx>
        <c:axId val="43159871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15977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25</xdr:col>
      <xdr:colOff>938030</xdr:colOff>
      <xdr:row>13</xdr:row>
      <xdr:rowOff>0</xdr:rowOff>
    </xdr:from>
    <xdr:to>
      <xdr:col>36</xdr:col>
      <xdr:colOff>385843</xdr:colOff>
      <xdr:row>13</xdr:row>
      <xdr:rowOff>781</xdr:rowOff>
    </xdr:to>
    <xdr:graphicFrame macro="">
      <xdr:nvGraphicFramePr>
        <xdr:cNvPr id="185" name="Chart 2">
          <a:extLst>
            <a:ext uri="{FF2B5EF4-FFF2-40B4-BE49-F238E27FC236}">
              <a16:creationId xmlns:a16="http://schemas.microsoft.com/office/drawing/2014/main" id="{803F636B-D7CD-4F93-B788-8821A7941F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0</xdr:colOff>
      <xdr:row>46</xdr:row>
      <xdr:rowOff>0</xdr:rowOff>
    </xdr:from>
    <xdr:to>
      <xdr:col>35</xdr:col>
      <xdr:colOff>521425</xdr:colOff>
      <xdr:row>46</xdr:row>
      <xdr:rowOff>68580</xdr:rowOff>
    </xdr:to>
    <xdr:graphicFrame macro="">
      <xdr:nvGraphicFramePr>
        <xdr:cNvPr id="36" name="Chart 15">
          <a:extLst>
            <a:ext uri="{FF2B5EF4-FFF2-40B4-BE49-F238E27FC236}">
              <a16:creationId xmlns:a16="http://schemas.microsoft.com/office/drawing/2014/main" id="{C9053780-3E04-4A32-AC50-01A02521AE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12</xdr:row>
      <xdr:rowOff>953</xdr:rowOff>
    </xdr:from>
    <xdr:to>
      <xdr:col>7</xdr:col>
      <xdr:colOff>254698</xdr:colOff>
      <xdr:row>27</xdr:row>
      <xdr:rowOff>952</xdr:rowOff>
    </xdr:to>
    <xdr:graphicFrame macro="">
      <xdr:nvGraphicFramePr>
        <xdr:cNvPr id="19" name="Chart 1">
          <a:extLst>
            <a:ext uri="{FF2B5EF4-FFF2-40B4-BE49-F238E27FC236}">
              <a16:creationId xmlns:a16="http://schemas.microsoft.com/office/drawing/2014/main" id="{D786118F-9753-CC0C-A1A4-625A04591B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xdr:colOff>
      <xdr:row>12</xdr:row>
      <xdr:rowOff>0</xdr:rowOff>
    </xdr:from>
    <xdr:to>
      <xdr:col>19</xdr:col>
      <xdr:colOff>171354</xdr:colOff>
      <xdr:row>27</xdr:row>
      <xdr:rowOff>0</xdr:rowOff>
    </xdr:to>
    <xdr:graphicFrame macro="">
      <xdr:nvGraphicFramePr>
        <xdr:cNvPr id="20" name="Chart 2">
          <a:extLst>
            <a:ext uri="{FF2B5EF4-FFF2-40B4-BE49-F238E27FC236}">
              <a16:creationId xmlns:a16="http://schemas.microsoft.com/office/drawing/2014/main" id="{D07028FD-BCA2-4B2F-BB4A-26095E91B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11</xdr:row>
      <xdr:rowOff>173355</xdr:rowOff>
    </xdr:from>
    <xdr:to>
      <xdr:col>7</xdr:col>
      <xdr:colOff>123730</xdr:colOff>
      <xdr:row>26</xdr:row>
      <xdr:rowOff>173355</xdr:rowOff>
    </xdr:to>
    <xdr:graphicFrame macro="">
      <xdr:nvGraphicFramePr>
        <xdr:cNvPr id="16" name="Chart 1">
          <a:extLst>
            <a:ext uri="{FF2B5EF4-FFF2-40B4-BE49-F238E27FC236}">
              <a16:creationId xmlns:a16="http://schemas.microsoft.com/office/drawing/2014/main" id="{E53722A4-EEB0-428F-9A38-7A395253D0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12</xdr:row>
      <xdr:rowOff>0</xdr:rowOff>
    </xdr:from>
    <xdr:to>
      <xdr:col>19</xdr:col>
      <xdr:colOff>100775</xdr:colOff>
      <xdr:row>27</xdr:row>
      <xdr:rowOff>0</xdr:rowOff>
    </xdr:to>
    <xdr:graphicFrame macro="">
      <xdr:nvGraphicFramePr>
        <xdr:cNvPr id="19" name="Chart 2">
          <a:extLst>
            <a:ext uri="{FF2B5EF4-FFF2-40B4-BE49-F238E27FC236}">
              <a16:creationId xmlns:a16="http://schemas.microsoft.com/office/drawing/2014/main" id="{CE4FCEAE-73BD-4921-BE57-E5DEA2D6FB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8D561-4267-4DE8-BEF8-056C91F152FF}">
  <dimension ref="A1:C93"/>
  <sheetViews>
    <sheetView tabSelected="1" workbookViewId="0">
      <selection activeCell="B99" sqref="B99"/>
    </sheetView>
  </sheetViews>
  <sheetFormatPr defaultRowHeight="14.45"/>
  <cols>
    <col min="1" max="1" width="31.7109375" bestFit="1" customWidth="1"/>
    <col min="2" max="2" width="160.28515625" customWidth="1"/>
  </cols>
  <sheetData>
    <row r="1" spans="1:2" ht="21">
      <c r="A1" s="92" t="s">
        <v>0</v>
      </c>
      <c r="B1" s="93"/>
    </row>
    <row r="2" spans="1:2" ht="18">
      <c r="A2" s="94" t="s">
        <v>1</v>
      </c>
      <c r="B2" s="95"/>
    </row>
    <row r="3" spans="1:2">
      <c r="A3" s="35" t="s">
        <v>2</v>
      </c>
      <c r="B3" s="36" t="s">
        <v>3</v>
      </c>
    </row>
    <row r="4" spans="1:2">
      <c r="A4" s="96" t="s">
        <v>4</v>
      </c>
      <c r="B4" s="38" t="str">
        <f>'1 Public Non-Charter Overall'!A3</f>
        <v>Table 1. Rates of College Enrollment in the First Fall after High School Graduation for Class of 2025</v>
      </c>
    </row>
    <row r="5" spans="1:2">
      <c r="A5" s="96"/>
      <c r="B5" s="37" t="str">
        <f>'1 Public Non-Charter Overall'!A20</f>
        <v>Table 2. Rates of College Enrollment in the First Fall after High School Graduation for Class of 2024</v>
      </c>
    </row>
    <row r="6" spans="1:2">
      <c r="A6" s="96"/>
      <c r="B6" s="37" t="str">
        <f>'1 Public Non-Charter Overall'!A37</f>
        <v>Table 3. Rates of College Enrollment in the First Year after High School Graduation for Class of 2024</v>
      </c>
    </row>
    <row r="7" spans="1:2">
      <c r="A7" s="96"/>
      <c r="B7" s="37" t="str">
        <f>'1 Public Non-Charter Overall'!A54</f>
        <v>Table 4. Rates of College Enrollment in the First Year after High School Graduation for Class of 2023</v>
      </c>
    </row>
    <row r="8" spans="1:2">
      <c r="A8" s="96"/>
      <c r="B8" s="37" t="str">
        <f>'1 Public Non-Charter Overall'!A71</f>
        <v>Table 5. Rates of College Enrollment in the First Two Years after High School Graduation for Class of 2023</v>
      </c>
    </row>
    <row r="9" spans="1:2">
      <c r="A9" s="96"/>
      <c r="B9" s="37" t="str">
        <f>'1 Public Non-Charter Overall'!A88</f>
        <v>Table 6. Rates of College Enrollment in the First Two Years after High School Graduation for Class of 2022</v>
      </c>
    </row>
    <row r="10" spans="1:2">
      <c r="A10" s="96"/>
      <c r="B10" s="37" t="str">
        <f>'1 Public Non-Charter Overall'!A105</f>
        <v>Table 7. Persistence Rates from First to Second Year of College for Class of 2023</v>
      </c>
    </row>
    <row r="11" spans="1:2">
      <c r="A11" s="96"/>
      <c r="B11" s="37" t="str">
        <f>'1 Public Non-Charter Overall'!A122</f>
        <v>Table 8. Persistence Rates from First to Second Year of College for Class of 2022</v>
      </c>
    </row>
    <row r="12" spans="1:2">
      <c r="A12" s="96"/>
      <c r="B12" s="37" t="str">
        <f>'1 Public Non-Charter Overall'!A139</f>
        <v>Table 9. Six-Year Completion Rates for Class of 2019</v>
      </c>
    </row>
    <row r="13" spans="1:2">
      <c r="A13" s="96"/>
      <c r="B13" s="37" t="str">
        <f>'1 Public Non-Charter Overall'!A156</f>
        <v>Table 10. Six-Year Completion Rates for Class of 2018</v>
      </c>
    </row>
    <row r="14" spans="1:2">
      <c r="A14" s="96"/>
      <c r="B14" s="37" t="str">
        <f>'1 Public Non-Charter Overall'!A173</f>
        <v>Table 11. Six-Year Completion Rates for Class of 2019, STEM</v>
      </c>
    </row>
    <row r="15" spans="1:2">
      <c r="A15" s="96"/>
      <c r="B15" s="37" t="str">
        <f>'1 Public Non-Charter Overall'!A184</f>
        <v>Table 12. Six-Year STEM Completers by Field of Study, Class of 2019</v>
      </c>
    </row>
    <row r="16" spans="1:2">
      <c r="A16" s="96"/>
      <c r="B16" s="37" t="str">
        <f>'1 Public Non-Charter Overall'!A203</f>
        <v>Table 13. Rates of College Enrollment in the First Fall after High School Graduation for Class of 2025 by Income and Minority Levels</v>
      </c>
    </row>
    <row r="17" spans="1:2">
      <c r="A17" s="96"/>
      <c r="B17" s="37" t="str">
        <f>'1 Public Non-Charter Overall'!A220</f>
        <v>Table 14. Persistence Rates from First to Second Year of College for Class of 2023 by Income and Minority Levels</v>
      </c>
    </row>
    <row r="18" spans="1:2">
      <c r="A18" s="96"/>
      <c r="B18" s="37" t="str">
        <f>'1 Public Non-Charter Overall'!A237</f>
        <v>Table 15. Six-Year College Completion Rates for Class of 2019 by Income and Minority Levels</v>
      </c>
    </row>
    <row r="19" spans="1:2">
      <c r="A19" s="96" t="s">
        <v>5</v>
      </c>
      <c r="B19" s="38" t="str">
        <f>REPLACE('2 Public Non-Charter Majors'!A4,9,1,"")</f>
        <v>Table 16. Top Five Majors for Students with First Fall Enrollment, Class of 2025</v>
      </c>
    </row>
    <row r="20" spans="1:2">
      <c r="A20" s="96"/>
      <c r="B20" s="37" t="str">
        <f>REPLACE('2 Public Non-Charter Majors'!A52,9,1,"")</f>
        <v>Table 17. Top Five Majors for Students with First Year Persistence, Class of 2023</v>
      </c>
    </row>
    <row r="21" spans="1:2">
      <c r="A21" s="96"/>
      <c r="B21" s="39" t="str">
        <f>REPLACE('2 Public Non-Charter Majors'!A100,9,1,"")</f>
        <v>Table 18. Top Five Majors for Students with Completion within Six Years, Class of 2019</v>
      </c>
    </row>
    <row r="22" spans="1:2">
      <c r="A22" s="89" t="s">
        <v>6</v>
      </c>
      <c r="B22" s="37" t="str">
        <f>REPLACE('3 Public Non-Charter Poverty'!$A$4,9,1,"")</f>
        <v>Table 19. College Enrollment Rates in the First Fall after High School Graduation for Classes 2024 and 2025, School Percentile Distribution</v>
      </c>
    </row>
    <row r="23" spans="1:2">
      <c r="A23" s="90"/>
      <c r="B23" s="37" t="str">
        <f>REPLACE('3 Public Non-Charter Poverty'!$A$9,9,1,"")</f>
        <v>Table 20. College Enrollment Rates in the First Fall after High School Graduation for Classes 2024 and 2025, Student-Weighted Totals</v>
      </c>
    </row>
    <row r="24" spans="1:2">
      <c r="A24" s="90"/>
      <c r="B24" s="37" t="str">
        <f>REPLACE('3 Public Non-Charter Poverty'!$A$15,9,1,"")</f>
        <v>Table 21. College Enrollment Rates in the First Year after High School Graduation for Classes 2023 and 2024, School Percentile Distribution</v>
      </c>
    </row>
    <row r="25" spans="1:2">
      <c r="A25" s="90"/>
      <c r="B25" s="37" t="str">
        <f>REPLACE('3 Public Non-Charter Poverty'!$A$20,9,1,"")</f>
        <v>Table 22. College Enrollment Rates in the First Year after High School Graduation for Classes 2023 and 2024, Student-Weighted Totals</v>
      </c>
    </row>
    <row r="26" spans="1:2">
      <c r="A26" s="90"/>
      <c r="B26" s="37" t="str">
        <f>REPLACE('3 Public Non-Charter Poverty'!$A$26,9,1,"")</f>
        <v>Table 23. College Enrollment Rates in the First Two Years after High School Graduation for Classes 2022 and 2023, School Percentile Distribution</v>
      </c>
    </row>
    <row r="27" spans="1:2">
      <c r="A27" s="90"/>
      <c r="B27" s="37" t="str">
        <f>REPLACE('3 Public Non-Charter Poverty'!$A$31,9,1,"")</f>
        <v>Table 24. College Enrollment Rates in the First Two Years after High School Graduation for Classes 2022 and 2023, Student-Weighted Totals</v>
      </c>
    </row>
    <row r="28" spans="1:2">
      <c r="A28" s="90"/>
      <c r="B28" s="37" t="str">
        <f>REPLACE('3 Public Non-Charter Poverty'!$A$37,9,1,"")</f>
        <v>Table 25. Persistence Rates from First to Second Year of College for Class of 2022 and 2023, School Percentile Distribution</v>
      </c>
    </row>
    <row r="29" spans="1:2">
      <c r="A29" s="90"/>
      <c r="B29" s="37" t="str">
        <f>REPLACE('3 Public Non-Charter Poverty'!$A$42,9,1,"")</f>
        <v>Table 26. Persistence Rates from First to Second Year of College for Class of 2022 and 2023, Student-Weighted Totals</v>
      </c>
    </row>
    <row r="30" spans="1:2">
      <c r="A30" s="90"/>
      <c r="B30" s="37" t="str">
        <f>REPLACE('3 Public Non-Charter Poverty'!$A$48,9,1,"")</f>
        <v>Table 27. Six-Year Completion Rates for Class of 2018 and 2019, School Percentile Distribution</v>
      </c>
    </row>
    <row r="31" spans="1:2">
      <c r="A31" s="91"/>
      <c r="B31" s="37" t="str">
        <f>REPLACE('3 Public Non-Charter Poverty'!$A$53,9,1,"")</f>
        <v>Table 28. Six-Year Completion Rates for Class of 2018 and 2019, Student-Weighted Totals</v>
      </c>
    </row>
    <row r="32" spans="1:2">
      <c r="A32" s="89" t="s">
        <v>7</v>
      </c>
      <c r="B32" s="38" t="str">
        <f>REPLACE('4 Public Non-Charter Income'!$A$4,9,1,"")</f>
        <v>Table 29. College Enrollment Rates in the First Fall after High School Graduation for Classes 2024 and 2025, School Percentile Distribution</v>
      </c>
    </row>
    <row r="33" spans="1:2">
      <c r="A33" s="90"/>
      <c r="B33" s="37" t="str">
        <f>REPLACE('4 Public Non-Charter Income'!$A$9,9,1,"")</f>
        <v>Table 30. College Enrollment Rates in the First Fall after High School Graduation for Classes 2024 and 2025, Student-Weighted Totals</v>
      </c>
    </row>
    <row r="34" spans="1:2">
      <c r="A34" s="90"/>
      <c r="B34" s="37" t="str">
        <f>REPLACE('4 Public Non-Charter Income'!$A$15,9,1,"")</f>
        <v>Table 31. College Enrollment Rates in the First Year after High School Graduation for Classes 2023 and 2024, School Percentile Distribution</v>
      </c>
    </row>
    <row r="35" spans="1:2">
      <c r="A35" s="90"/>
      <c r="B35" s="37" t="str">
        <f>REPLACE('4 Public Non-Charter Income'!$A$20,9,1,"")</f>
        <v>Table 32. College Enrollment Rates in the First Year after High School Graduation for Classes 2023 and 2024, Student-Weighted Totals</v>
      </c>
    </row>
    <row r="36" spans="1:2">
      <c r="A36" s="90"/>
      <c r="B36" s="37" t="str">
        <f>REPLACE('4 Public Non-Charter Income'!$A$26,9,1,"")</f>
        <v>Table 33. College Enrollment Rates in the First Two Years after High School Graduation for Classes 2022 and 2023, School Percentile Distribution</v>
      </c>
    </row>
    <row r="37" spans="1:2">
      <c r="A37" s="90"/>
      <c r="B37" s="37" t="str">
        <f>REPLACE('4 Public Non-Charter Income'!$A$31,9,1,"")</f>
        <v>Table 34. College Enrollment Rates in the First Two Years after High School Graduation for Classes 2022 and 2023, Student-Weighted Totals</v>
      </c>
    </row>
    <row r="38" spans="1:2">
      <c r="A38" s="90"/>
      <c r="B38" s="37" t="str">
        <f>REPLACE('4 Public Non-Charter Income'!$A$37,9,1,"")</f>
        <v>Table 35. Persistence Rates from First to Second Year of College for Class of 2022 and 2023, School Percentile Distribution</v>
      </c>
    </row>
    <row r="39" spans="1:2">
      <c r="A39" s="90"/>
      <c r="B39" s="37" t="str">
        <f>REPLACE('4 Public Non-Charter Income'!$A$42,9,1,"")</f>
        <v>Table 36. Persistence Rates from First to Second Year of College for Class of 2022 and 2023, Student-Weighted Totals</v>
      </c>
    </row>
    <row r="40" spans="1:2">
      <c r="A40" s="90"/>
      <c r="B40" s="37" t="str">
        <f>REPLACE('4 Public Non-Charter Income'!$A$48,9,1,"")</f>
        <v>Table 37. Six-Year Completion Rates for Class of 2018 and 2019, School Percentile Distribution</v>
      </c>
    </row>
    <row r="41" spans="1:2">
      <c r="A41" s="91"/>
      <c r="B41" s="39" t="str">
        <f>REPLACE('4 Public Non-Charter Income'!$A$53,9,1,"")</f>
        <v>Table 38. Six-Year Completion Rates for Class of 2018 and 2019, Student-Weighted Totals</v>
      </c>
    </row>
    <row r="42" spans="1:2">
      <c r="A42" s="89" t="s">
        <v>8</v>
      </c>
      <c r="B42" s="38" t="str">
        <f>REPLACE('5 Public Non-Charter Minority'!$A$4,9,1,"")</f>
        <v>Table 39. College Enrollment Rates in the First Fall after High School Graduation for Classes 2024 and 2025, School Percentile Distribution</v>
      </c>
    </row>
    <row r="43" spans="1:2">
      <c r="A43" s="90"/>
      <c r="B43" s="37" t="str">
        <f>REPLACE('5 Public Non-Charter Minority'!$A$9,9,1,"")</f>
        <v>Table 40. College Enrollment Rates in the First Fall after High School Graduation for Classes 2024 and 2025, Student-Weighted Totals</v>
      </c>
    </row>
    <row r="44" spans="1:2">
      <c r="A44" s="90"/>
      <c r="B44" s="37" t="str">
        <f>REPLACE('5 Public Non-Charter Minority'!$A$15,9,1,"")</f>
        <v>Table 41. College Enrollment Rates in the First Year after High School Graduation for Classes 2023 and 2024, School Percentile Distribution</v>
      </c>
    </row>
    <row r="45" spans="1:2">
      <c r="A45" s="90"/>
      <c r="B45" s="37" t="str">
        <f>REPLACE('5 Public Non-Charter Minority'!$A$20,9,1,"")</f>
        <v>Table 42. College Enrollment Rates in the First Year after High School Graduation for Classes 2023 and 2024, Student-Weighted Totals</v>
      </c>
    </row>
    <row r="46" spans="1:2">
      <c r="A46" s="90"/>
      <c r="B46" s="37" t="str">
        <f>REPLACE('5 Public Non-Charter Minority'!$A$26,9,1,"")</f>
        <v>Table 43. College Enrollment Rates in the First Two Years after High School Graduation for Classes 2022 and 2023, School Percentile Distribution</v>
      </c>
    </row>
    <row r="47" spans="1:2">
      <c r="A47" s="90"/>
      <c r="B47" s="37" t="str">
        <f>REPLACE('5 Public Non-Charter Minority'!$A$31,9,1,"")</f>
        <v>Table 44. College Enrollment Rates in the First Two Years after High School Graduation for Classes 2022 and 2023, Student-Weighted Totals</v>
      </c>
    </row>
    <row r="48" spans="1:2">
      <c r="A48" s="90"/>
      <c r="B48" s="37" t="str">
        <f>REPLACE('5 Public Non-Charter Minority'!$A$37,9,1,"")</f>
        <v>Table 45. Persistence Rates from First to Second Year of College for Class of 2022 and 2023, School Percentile Distribution</v>
      </c>
    </row>
    <row r="49" spans="1:2">
      <c r="A49" s="90"/>
      <c r="B49" s="37" t="str">
        <f>REPLACE('5 Public Non-Charter Minority'!$A$42,9,1,"")</f>
        <v>Table 46. Persistence Rates from First to Second Year of College for Class of 2022 and 2023, Student-Weighted Totals</v>
      </c>
    </row>
    <row r="50" spans="1:2">
      <c r="A50" s="90"/>
      <c r="B50" s="37" t="str">
        <f>REPLACE('5 Public Non-Charter Minority'!$A$48,9,1,"")</f>
        <v>Table 47. Six-Year Completion Rates for Class of 2018 and 2019, School Percentile Distribution</v>
      </c>
    </row>
    <row r="51" spans="1:2">
      <c r="A51" s="91"/>
      <c r="B51" s="39" t="str">
        <f>REPLACE('5 Public Non-Charter Minority'!$A$53,9,1,"")</f>
        <v>Table 48. Six-Year Completion Rates for Class of 2018 and 2019, Student-Weighted Totals</v>
      </c>
    </row>
    <row r="52" spans="1:2">
      <c r="A52" s="89" t="s">
        <v>9</v>
      </c>
      <c r="B52" s="38" t="str">
        <f>REPLACE('6 Public Non-Charter Urbanicity'!$A$4,9,1,"")</f>
        <v>Table 49. College Enrollment Rates in the First Fall after High School Graduation for Classes 2024 and 2025, School Percentile Distribution</v>
      </c>
    </row>
    <row r="53" spans="1:2">
      <c r="A53" s="90"/>
      <c r="B53" s="37" t="str">
        <f>REPLACE('6 Public Non-Charter Urbanicity'!$A$9,9,1,"")</f>
        <v>Table 50. College Enrollment Rates in the First Fall after High School Graduation for Classes 2024 and 2025, Student-Weighted Totals</v>
      </c>
    </row>
    <row r="54" spans="1:2">
      <c r="A54" s="90"/>
      <c r="B54" s="37" t="str">
        <f>REPLACE('6 Public Non-Charter Urbanicity'!$A$15,9,1,"")</f>
        <v>Table 51. College Enrollment Rates in the First Year after High School Graduation for Classes 2023 and 2024, School Percentile Distribution</v>
      </c>
    </row>
    <row r="55" spans="1:2">
      <c r="A55" s="90"/>
      <c r="B55" s="37" t="str">
        <f>REPLACE('6 Public Non-Charter Urbanicity'!$A$20,9,1,"")</f>
        <v>Table 52. College Enrollment Rates in the First Year after High School Graduation for Classes 2023 and 2024, Student-Weighted Totals</v>
      </c>
    </row>
    <row r="56" spans="1:2">
      <c r="A56" s="90"/>
      <c r="B56" s="37" t="str">
        <f>REPLACE('6 Public Non-Charter Urbanicity'!$A$26,9,1,"")</f>
        <v>Table 53. College Enrollment Rates in the First Two Years after High School Graduation for Classes 2022 and 2023, School Percentile Distribution</v>
      </c>
    </row>
    <row r="57" spans="1:2">
      <c r="A57" s="90"/>
      <c r="B57" s="37" t="str">
        <f>REPLACE('6 Public Non-Charter Urbanicity'!$A$31,9,1,"")</f>
        <v>Table 54. College Enrollment Rates in the First Two Years after High School Graduation for Classes 2022 and 2023, Student-Weighted Totals</v>
      </c>
    </row>
    <row r="58" spans="1:2">
      <c r="A58" s="90"/>
      <c r="B58" s="37" t="str">
        <f>REPLACE('6 Public Non-Charter Urbanicity'!$A$37,9,1,"")</f>
        <v>Table 55. Persistence Rates from First to Second Year of College for Class of 2022 and 2023, School Percentile Distribution</v>
      </c>
    </row>
    <row r="59" spans="1:2">
      <c r="A59" s="90"/>
      <c r="B59" s="37" t="str">
        <f>REPLACE('6 Public Non-Charter Urbanicity'!$A$42,9,1,"")</f>
        <v>Table 56. Persistence Rates from First to Second Year of College for Class of 2022 and 2023, Student-Weighted Totals</v>
      </c>
    </row>
    <row r="60" spans="1:2">
      <c r="A60" s="90"/>
      <c r="B60" s="37" t="str">
        <f>REPLACE('6 Public Non-Charter Urbanicity'!$A$48,9,1,"")</f>
        <v>Table 57. Six-Year Completion Rates for Class of 2018 and 2019, School Percentile Distribution</v>
      </c>
    </row>
    <row r="61" spans="1:2">
      <c r="A61" s="91"/>
      <c r="B61" s="39" t="str">
        <f>REPLACE('6 Public Non-Charter Urbanicity'!$A$53,9,1,"")</f>
        <v>Table 58. Six-Year Completion Rates for Class of 2018 and 2019, Student-Weighted Totals</v>
      </c>
    </row>
    <row r="62" spans="1:2">
      <c r="A62" s="89" t="s">
        <v>10</v>
      </c>
      <c r="B62" s="38" t="str">
        <f>'7 Public Charter Schools'!$A$4</f>
        <v>Table 59. College Enrollment Rates in the First Fall after High School Graduation for Classes 2024 and 2025, School Percentile Distribution</v>
      </c>
    </row>
    <row r="63" spans="1:2">
      <c r="A63" s="90"/>
      <c r="B63" s="37" t="str">
        <f>'7 Public Charter Schools'!$A$9</f>
        <v>Table 60. College Enrollment Rates in the First Fall after High School Graduation for Classes 2024 and 2025, Student-Weighted Totals</v>
      </c>
    </row>
    <row r="64" spans="1:2">
      <c r="A64" s="90"/>
      <c r="B64" s="37" t="str">
        <f>'7 Public Charter Schools'!$A$15</f>
        <v>Table 61. College Enrollment Rates in the First Year after High School Graduation for Classes 2023 and 2024, School Percentile Distribution</v>
      </c>
    </row>
    <row r="65" spans="1:2">
      <c r="A65" s="90"/>
      <c r="B65" s="37" t="str">
        <f>'7 Public Charter Schools'!$A$20</f>
        <v>Table 62. College Enrollment Rates in the First Year after High School Graduation for Classes 2023 and 2024, Student-Weighted Totals</v>
      </c>
    </row>
    <row r="66" spans="1:2">
      <c r="A66" s="90"/>
      <c r="B66" s="37" t="str">
        <f>'7 Public Charter Schools'!$A$26</f>
        <v>Table 63. College Enrollment Rates in the First Two Years after High School Graduation for Classes 2022 and 2023, School Percentile Distribution</v>
      </c>
    </row>
    <row r="67" spans="1:2">
      <c r="A67" s="90"/>
      <c r="B67" s="37" t="str">
        <f>'7 Public Charter Schools'!$A$31</f>
        <v>Table 64. College Enrollment Rates in the First Two Years after High School Graduation for Classes 2022 and 2023, Student-Weighted Totals</v>
      </c>
    </row>
    <row r="68" spans="1:2">
      <c r="A68" s="90"/>
      <c r="B68" s="37" t="str">
        <f>'7 Public Charter Schools'!$A$37</f>
        <v>Table 65. Persistence Rates from First to Second Year of College for Class of 2022 and 2023, School Percentile Distribution</v>
      </c>
    </row>
    <row r="69" spans="1:2">
      <c r="A69" s="90"/>
      <c r="B69" s="37" t="str">
        <f>'7 Public Charter Schools'!$A$42</f>
        <v>Table 66. Persistence Rates from First to Second Year of College for Class of 2022 and 2023, Student-Weighted Totals</v>
      </c>
    </row>
    <row r="70" spans="1:2">
      <c r="A70" s="90"/>
      <c r="B70" s="37" t="str">
        <f>'7 Public Charter Schools'!$A$48</f>
        <v>Table 67. Six-Year Completion Rates for Class of 2018 and 2019, School Percentile Distribution</v>
      </c>
    </row>
    <row r="71" spans="1:2">
      <c r="A71" s="91"/>
      <c r="B71" s="77" t="str">
        <f>'7 Public Charter Schools'!$A$53</f>
        <v>Table 68. Six-Year Completion Rates for Class of 2018 and 2019, Student-Weighted Totals</v>
      </c>
    </row>
    <row r="72" spans="1:2">
      <c r="A72" s="89" t="s">
        <v>11</v>
      </c>
      <c r="B72" s="38" t="str">
        <f>'8 Private Schools'!$A$4</f>
        <v>Table 69. College Enrollment Rates in the First Fall after High School Graduation for Classes 2024 and 2025, School Percentile Distribution</v>
      </c>
    </row>
    <row r="73" spans="1:2">
      <c r="A73" s="90"/>
      <c r="B73" s="37" t="str">
        <f>'8 Private Schools'!$A$9</f>
        <v>Table 70. College Enrollment Rates in the First Fall after High School Graduation for Classes 2024 and 2025, Student-Weighted Totals</v>
      </c>
    </row>
    <row r="74" spans="1:2">
      <c r="A74" s="90"/>
      <c r="B74" s="37" t="str">
        <f>'8 Private Schools'!$A$15</f>
        <v>Table 71. College Enrollment Rates in the First Year after High School Graduation for Classes 2023 and 2024, School Percentile Distribution</v>
      </c>
    </row>
    <row r="75" spans="1:2">
      <c r="A75" s="90"/>
      <c r="B75" s="37" t="str">
        <f>'8 Private Schools'!$A$20</f>
        <v>Table 72. College Enrollment Rates in the First Year after High School Graduation for Classes 2023 and 2024, Student-Weighted Totals</v>
      </c>
    </row>
    <row r="76" spans="1:2">
      <c r="A76" s="90"/>
      <c r="B76" s="37" t="str">
        <f>'8 Private Schools'!$A$26</f>
        <v>Table 73. College Enrollment Rates in the First Two Years after High School Graduation for Classes 2022 and 2023, School Percentile Distribution</v>
      </c>
    </row>
    <row r="77" spans="1:2">
      <c r="A77" s="90"/>
      <c r="B77" s="37" t="str">
        <f>'8 Private Schools'!$A$31</f>
        <v>Table 74. College Enrollment Rates in the First Two Years after High School Graduation for Classes 2022 and 2023, Student-Weighted Totals</v>
      </c>
    </row>
    <row r="78" spans="1:2">
      <c r="A78" s="90"/>
      <c r="B78" s="37" t="str">
        <f>'8 Private Schools'!$A$37</f>
        <v>Table 75. Persistence Rates from First to Second Year of College for Class of 2022 and 2023, School Percentile Distribution</v>
      </c>
    </row>
    <row r="79" spans="1:2">
      <c r="A79" s="90"/>
      <c r="B79" s="37" t="str">
        <f>'8 Private Schools'!$A$42</f>
        <v>Table 76. Persistence Rates from First to Second Year of College for Class of 2022 and 2023, Student-Weighted Totals</v>
      </c>
    </row>
    <row r="80" spans="1:2">
      <c r="A80" s="90"/>
      <c r="B80" s="37" t="str">
        <f>'8 Private Schools'!$A$48</f>
        <v>Table 77. Six-Year Completion Rates for Class of 2018 and 2019, School Percentile Distribution</v>
      </c>
    </row>
    <row r="81" spans="1:3">
      <c r="A81" s="91"/>
      <c r="B81" s="77" t="str">
        <f>'8 Private Schools'!$A$53</f>
        <v>Table 78. Six-Year Completion Rates for Class of 2018 and 2019, Student-Weighted Totals</v>
      </c>
    </row>
    <row r="82" spans="1:3">
      <c r="A82" s="97" t="s">
        <v>12</v>
      </c>
      <c r="B82" s="38" t="str">
        <f>REPLACE('9 Income Trend Adjustment'!$A$5,9,1,"")</f>
        <v>Table 79. Low-Income High School and Student Counts Class of 2019 to Class of 2025</v>
      </c>
    </row>
    <row r="83" spans="1:3">
      <c r="A83" s="96"/>
      <c r="B83" s="37" t="str">
        <f>REPLACE('9 Income Trend Adjustment'!$A$29,9,1,"")</f>
        <v>Table 80. College Enrollment Rates in the First Fall after High School Graduation for Class of 2025 and Class of 2025 Adjusted to 2024 High School Income Designations</v>
      </c>
    </row>
    <row r="84" spans="1:3">
      <c r="A84" s="96"/>
      <c r="B84" s="86" t="str">
        <f>REPLACE('9 Income Trend Adjustment'!$A$35,9,1,"")</f>
        <v>Table 81. College Enrollment Rates in the First Year after High School Graduation for Class of 2024 and Class of 2024 Adjusted to 2023 High School Income Designations</v>
      </c>
    </row>
    <row r="85" spans="1:3">
      <c r="A85" s="96"/>
      <c r="B85" s="86" t="str">
        <f>REPLACE('9 Income Trend Adjustment'!$A$41,9,1,"")</f>
        <v>Table 82. College Enrollment Rates in the First Fall after High School Graduation for Class of 2025 and Class of 2025 Adjusted to 2024 High School Income Designations by Minority Levels</v>
      </c>
      <c r="C85" s="87"/>
    </row>
    <row r="86" spans="1:3">
      <c r="A86" s="96"/>
      <c r="B86" s="86" t="str">
        <f>REPLACE('9 Income Trend Adjustment'!$A$60,9,1,"")</f>
        <v>Table 83. College Enrollment Rates in the First Year after High School Graduation for Class of 2024 and Class of 2024 Adjusted to 2023 High School Income Designations by Minority Levels</v>
      </c>
      <c r="C86" s="87"/>
    </row>
    <row r="87" spans="1:3">
      <c r="A87" s="96"/>
      <c r="B87" s="86" t="str">
        <f>REPLACE('9 Income Trend Adjustment'!$A$79,9,1,"")</f>
        <v>Table 84. College Enrollment Rates in the First Two Years after High School Graduation for Class of 2023 and Class of 2023 Adjusted to 2022 High School Income Designations</v>
      </c>
      <c r="C87" s="87"/>
    </row>
    <row r="88" spans="1:3">
      <c r="A88" s="96"/>
      <c r="B88" s="88" t="str">
        <f>REPLACE('9 Income Trend Adjustment'!$A$85,9,1,"")</f>
        <v>Table 85. Persistence Rates from First to Second Year of College for Class of 2023 and Class of 2023 Adjusted to 2022 High School Income Designations</v>
      </c>
    </row>
    <row r="89" spans="1:3">
      <c r="A89" s="97" t="s">
        <v>13</v>
      </c>
      <c r="B89" s="37" t="str">
        <f>REPLACE('10 Poverty Trend Adjustment'!$A$5,9,1,"")</f>
        <v>Table 86. High-Poverty High School and Student Counts Class of 2019 to Class of 2025</v>
      </c>
    </row>
    <row r="90" spans="1:3">
      <c r="A90" s="96"/>
      <c r="B90" s="37" t="str">
        <f>REPLACE('10 Poverty Trend Adjustment'!$A$29,9,1,"")</f>
        <v>Table 87. College Enrollment Rates in the First Fall after High School Graduation for Class of 2025 and Class of 2025 Adjusted to 2024 High School Income Designations</v>
      </c>
    </row>
    <row r="91" spans="1:3">
      <c r="A91" s="96"/>
      <c r="B91" s="37" t="str">
        <f>REPLACE('10 Poverty Trend Adjustment'!$A$35,9,1,"")</f>
        <v>Table 88. College Enrollment Rates in the First Year after High School Graduation for Class of 2024 and Class of 2024 Adjusted to 2023 High School Income Designations</v>
      </c>
    </row>
    <row r="92" spans="1:3">
      <c r="A92" s="96"/>
      <c r="B92" s="37" t="str">
        <f>REPLACE('10 Poverty Trend Adjustment'!$A$41,9,1,"")</f>
        <v>Table 89. College Enrollment Rates in the First Two Years after High School Graduation for Class of 2023 and Class of 2023 Adjusted to 2022 High School Income Designations</v>
      </c>
    </row>
    <row r="93" spans="1:3">
      <c r="A93" s="96"/>
      <c r="B93" s="39" t="str">
        <f>REPLACE('10 Poverty Trend Adjustment'!$A$47,9,1,"")</f>
        <v>Table 90. Persistence Rates from First to Second Year of College for Class of 2023 and Class of 2023 Adjusted to 2022 High School Income Designations</v>
      </c>
    </row>
  </sheetData>
  <mergeCells count="12">
    <mergeCell ref="A52:A61"/>
    <mergeCell ref="A62:A71"/>
    <mergeCell ref="A72:A81"/>
    <mergeCell ref="A82:A88"/>
    <mergeCell ref="A89:A93"/>
    <mergeCell ref="A42:A51"/>
    <mergeCell ref="A32:A41"/>
    <mergeCell ref="A1:B1"/>
    <mergeCell ref="A2:B2"/>
    <mergeCell ref="A4:A18"/>
    <mergeCell ref="A19:A21"/>
    <mergeCell ref="A22:A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38E3D-67DB-4A99-9FB9-BC29A91859BC}">
  <dimension ref="A1:M252"/>
  <sheetViews>
    <sheetView workbookViewId="0">
      <selection activeCell="A186" sqref="A186:A187"/>
    </sheetView>
  </sheetViews>
  <sheetFormatPr defaultRowHeight="14.45"/>
  <cols>
    <col min="1" max="1" width="20.7109375" customWidth="1"/>
    <col min="2" max="3" width="15.7109375" customWidth="1"/>
    <col min="4" max="4" width="3.7109375" customWidth="1"/>
    <col min="5" max="6" width="15.7109375" customWidth="1"/>
    <col min="7" max="7" width="3.7109375" customWidth="1"/>
    <col min="8" max="9" width="15.7109375" customWidth="1"/>
    <col min="10" max="10" width="3.7109375" customWidth="1"/>
    <col min="11" max="13" width="15.7109375" customWidth="1"/>
  </cols>
  <sheetData>
    <row r="1" spans="1:13" ht="21">
      <c r="A1" s="1" t="s">
        <v>14</v>
      </c>
    </row>
    <row r="2" spans="1:13">
      <c r="A2" s="2"/>
    </row>
    <row r="3" spans="1:13">
      <c r="A3" s="3" t="s">
        <v>15</v>
      </c>
      <c r="B3" s="4"/>
      <c r="C3" s="4"/>
      <c r="D3" s="4"/>
      <c r="E3" s="4"/>
      <c r="F3" s="4"/>
      <c r="G3" s="4"/>
      <c r="H3" s="4"/>
      <c r="I3" s="4"/>
      <c r="J3" s="4"/>
      <c r="K3" s="4"/>
      <c r="L3" s="4"/>
      <c r="M3" s="4"/>
    </row>
    <row r="4" spans="1:13">
      <c r="A4" s="5"/>
      <c r="B4" s="6" t="s">
        <v>16</v>
      </c>
      <c r="C4" s="7" t="s">
        <v>17</v>
      </c>
      <c r="D4" s="8"/>
      <c r="E4" s="9" t="s">
        <v>18</v>
      </c>
      <c r="F4" s="7" t="s">
        <v>19</v>
      </c>
      <c r="G4" s="8"/>
      <c r="H4" s="9" t="s">
        <v>20</v>
      </c>
      <c r="I4" s="7" t="s">
        <v>21</v>
      </c>
      <c r="J4" s="8"/>
      <c r="K4" s="9" t="s">
        <v>22</v>
      </c>
      <c r="L4" s="6" t="s">
        <v>23</v>
      </c>
      <c r="M4" s="6" t="s">
        <v>24</v>
      </c>
    </row>
    <row r="5" spans="1:13">
      <c r="A5" s="98" t="s">
        <v>25</v>
      </c>
      <c r="B5" s="44">
        <v>230048</v>
      </c>
      <c r="C5" s="44">
        <v>290842</v>
      </c>
      <c r="D5" s="12"/>
      <c r="E5" s="44">
        <v>507633</v>
      </c>
      <c r="F5" s="44">
        <v>847998</v>
      </c>
      <c r="G5" s="12"/>
      <c r="H5" s="44">
        <v>572829</v>
      </c>
      <c r="I5" s="44">
        <v>782802</v>
      </c>
      <c r="J5" s="12"/>
      <c r="K5" s="44">
        <v>408691</v>
      </c>
      <c r="L5" s="44">
        <v>596101</v>
      </c>
      <c r="M5" s="44">
        <v>350839</v>
      </c>
    </row>
    <row r="6" spans="1:13">
      <c r="A6" s="118"/>
      <c r="B6" s="43">
        <v>0.51164300996828471</v>
      </c>
      <c r="C6" s="43">
        <v>0.73934109512430723</v>
      </c>
      <c r="D6" s="14"/>
      <c r="E6" s="43">
        <v>0.52580862680268858</v>
      </c>
      <c r="F6" s="43">
        <v>0.63224407661205839</v>
      </c>
      <c r="G6" s="14"/>
      <c r="H6" s="43">
        <v>0.54371574066603701</v>
      </c>
      <c r="I6" s="43">
        <v>0.62467292135988106</v>
      </c>
      <c r="J6" s="14"/>
      <c r="K6" s="43">
        <v>0.58720308737406535</v>
      </c>
      <c r="L6" s="43">
        <v>0.62698766642334691</v>
      </c>
      <c r="M6" s="43">
        <v>0.53161451625123113</v>
      </c>
    </row>
    <row r="7" spans="1:13">
      <c r="A7" s="98" t="s">
        <v>26</v>
      </c>
      <c r="B7" s="44">
        <v>129987</v>
      </c>
      <c r="C7" s="44">
        <v>236437</v>
      </c>
      <c r="D7" s="12"/>
      <c r="E7" s="44">
        <v>300613</v>
      </c>
      <c r="F7" s="44">
        <v>628437</v>
      </c>
      <c r="G7" s="12"/>
      <c r="H7" s="44">
        <v>354126</v>
      </c>
      <c r="I7" s="44">
        <v>574924</v>
      </c>
      <c r="J7" s="12"/>
      <c r="K7" s="44">
        <v>276426</v>
      </c>
      <c r="L7" s="44">
        <v>427368</v>
      </c>
      <c r="M7" s="44">
        <v>225256</v>
      </c>
    </row>
    <row r="8" spans="1:13">
      <c r="A8" s="118"/>
      <c r="B8" s="43">
        <v>0.28910027445032094</v>
      </c>
      <c r="C8" s="43">
        <v>0.60103970715338861</v>
      </c>
      <c r="D8" s="14"/>
      <c r="E8" s="43">
        <v>0.31137634615763082</v>
      </c>
      <c r="F8" s="43">
        <v>0.46854541021777429</v>
      </c>
      <c r="G8" s="14"/>
      <c r="H8" s="43">
        <v>0.33612802490638749</v>
      </c>
      <c r="I8" s="43">
        <v>0.45878709384992405</v>
      </c>
      <c r="J8" s="14"/>
      <c r="K8" s="43">
        <v>0.39716607566710155</v>
      </c>
      <c r="L8" s="43">
        <v>0.44951185289743334</v>
      </c>
      <c r="M8" s="43">
        <v>0.34132282748693082</v>
      </c>
    </row>
    <row r="9" spans="1:13">
      <c r="A9" s="98" t="s">
        <v>27</v>
      </c>
      <c r="B9" s="44">
        <v>100061</v>
      </c>
      <c r="C9" s="44">
        <v>54405</v>
      </c>
      <c r="D9" s="12"/>
      <c r="E9" s="44">
        <v>207020</v>
      </c>
      <c r="F9" s="44">
        <v>219561</v>
      </c>
      <c r="G9" s="12"/>
      <c r="H9" s="44">
        <v>218703</v>
      </c>
      <c r="I9" s="44">
        <v>207878</v>
      </c>
      <c r="J9" s="12"/>
      <c r="K9" s="44">
        <v>132265</v>
      </c>
      <c r="L9" s="44">
        <v>168733</v>
      </c>
      <c r="M9" s="44">
        <v>125583</v>
      </c>
    </row>
    <row r="10" spans="1:13">
      <c r="A10" s="118"/>
      <c r="B10" s="43">
        <v>0.22254273551796383</v>
      </c>
      <c r="C10" s="43">
        <v>0.1383013879709187</v>
      </c>
      <c r="D10" s="14"/>
      <c r="E10" s="43">
        <v>0.2144322806450577</v>
      </c>
      <c r="F10" s="43">
        <v>0.16369866639428415</v>
      </c>
      <c r="G10" s="14"/>
      <c r="H10" s="43">
        <v>0.20758771575964957</v>
      </c>
      <c r="I10" s="43">
        <v>0.16588582750995701</v>
      </c>
      <c r="J10" s="14"/>
      <c r="K10" s="43">
        <v>0.19003701170696383</v>
      </c>
      <c r="L10" s="43">
        <v>0.17747581352591354</v>
      </c>
      <c r="M10" s="43">
        <v>0.19029168876430033</v>
      </c>
    </row>
    <row r="11" spans="1:13">
      <c r="A11" s="98" t="s">
        <v>28</v>
      </c>
      <c r="B11" s="44">
        <v>203989</v>
      </c>
      <c r="C11" s="44">
        <v>227472</v>
      </c>
      <c r="D11" s="12"/>
      <c r="E11" s="44">
        <v>440883</v>
      </c>
      <c r="F11" s="44">
        <v>680138</v>
      </c>
      <c r="G11" s="12"/>
      <c r="H11" s="44">
        <v>494644</v>
      </c>
      <c r="I11" s="44">
        <v>626377</v>
      </c>
      <c r="J11" s="12"/>
      <c r="K11" s="44">
        <v>345128</v>
      </c>
      <c r="L11" s="44">
        <v>481164</v>
      </c>
      <c r="M11" s="44">
        <v>294729</v>
      </c>
    </row>
    <row r="12" spans="1:13">
      <c r="A12" s="118"/>
      <c r="B12" s="43">
        <v>0.45368595232482106</v>
      </c>
      <c r="C12" s="43">
        <v>0.57825003813106923</v>
      </c>
      <c r="D12" s="14"/>
      <c r="E12" s="43">
        <v>0.45666866576965981</v>
      </c>
      <c r="F12" s="43">
        <v>0.50709225939067337</v>
      </c>
      <c r="G12" s="14"/>
      <c r="H12" s="43">
        <v>0.46950438756768814</v>
      </c>
      <c r="I12" s="43">
        <v>0.49984638575608931</v>
      </c>
      <c r="J12" s="14"/>
      <c r="K12" s="43">
        <v>0.49587641308283381</v>
      </c>
      <c r="L12" s="43">
        <v>0.50609526494155066</v>
      </c>
      <c r="M12" s="43">
        <v>0.4465929237063414</v>
      </c>
    </row>
    <row r="13" spans="1:13">
      <c r="A13" s="98" t="s">
        <v>29</v>
      </c>
      <c r="B13" s="44">
        <v>26059</v>
      </c>
      <c r="C13" s="44">
        <v>63370</v>
      </c>
      <c r="D13" s="12"/>
      <c r="E13" s="44">
        <v>66750</v>
      </c>
      <c r="F13" s="44">
        <v>167860</v>
      </c>
      <c r="G13" s="12"/>
      <c r="H13" s="44">
        <v>78185</v>
      </c>
      <c r="I13" s="44">
        <v>156425</v>
      </c>
      <c r="J13" s="12"/>
      <c r="K13" s="44">
        <v>63563</v>
      </c>
      <c r="L13" s="44">
        <v>114937</v>
      </c>
      <c r="M13" s="44">
        <v>56110</v>
      </c>
    </row>
    <row r="14" spans="1:13">
      <c r="A14" s="118"/>
      <c r="B14" s="43">
        <v>5.7957057643463677E-2</v>
      </c>
      <c r="C14" s="43">
        <v>0.16109105699323809</v>
      </c>
      <c r="D14" s="14"/>
      <c r="E14" s="43">
        <v>6.9139961033028705E-2</v>
      </c>
      <c r="F14" s="43">
        <v>0.1251518172213851</v>
      </c>
      <c r="G14" s="14"/>
      <c r="H14" s="43">
        <v>7.4211353098348906E-2</v>
      </c>
      <c r="I14" s="43">
        <v>0.12482653560379176</v>
      </c>
      <c r="J14" s="14"/>
      <c r="K14" s="43">
        <v>9.1326674291231563E-2</v>
      </c>
      <c r="L14" s="43">
        <v>0.12089240148179625</v>
      </c>
      <c r="M14" s="43">
        <v>8.5021592544889765E-2</v>
      </c>
    </row>
    <row r="15" spans="1:13">
      <c r="A15" s="98" t="s">
        <v>30</v>
      </c>
      <c r="B15" s="44">
        <v>208980</v>
      </c>
      <c r="C15" s="44">
        <v>196115</v>
      </c>
      <c r="D15" s="12"/>
      <c r="E15" s="44">
        <v>449057</v>
      </c>
      <c r="F15" s="44">
        <v>636723</v>
      </c>
      <c r="G15" s="12"/>
      <c r="H15" s="44">
        <v>498850</v>
      </c>
      <c r="I15" s="44">
        <v>586930</v>
      </c>
      <c r="J15" s="12"/>
      <c r="K15" s="44">
        <v>337316</v>
      </c>
      <c r="L15" s="44">
        <v>459212</v>
      </c>
      <c r="M15" s="44">
        <v>289252</v>
      </c>
    </row>
    <row r="16" spans="1:13">
      <c r="A16" s="118"/>
      <c r="B16" s="43">
        <v>0.46478628904912084</v>
      </c>
      <c r="C16" s="43">
        <v>0.49853830901418478</v>
      </c>
      <c r="D16" s="14"/>
      <c r="E16" s="43">
        <v>0.4651353330578093</v>
      </c>
      <c r="F16" s="43">
        <v>0.47472322481027041</v>
      </c>
      <c r="G16" s="14"/>
      <c r="H16" s="43">
        <v>0.47349662330512698</v>
      </c>
      <c r="I16" s="43">
        <v>0.46836783469351762</v>
      </c>
      <c r="J16" s="14"/>
      <c r="K16" s="43">
        <v>0.48465221064488878</v>
      </c>
      <c r="L16" s="43">
        <v>0.48300583336313474</v>
      </c>
      <c r="M16" s="43">
        <v>0.43829381013713159</v>
      </c>
    </row>
    <row r="17" spans="1:13">
      <c r="A17" s="98" t="s">
        <v>31</v>
      </c>
      <c r="B17" s="44">
        <v>21068</v>
      </c>
      <c r="C17" s="44">
        <v>94727</v>
      </c>
      <c r="D17" s="12"/>
      <c r="E17" s="44">
        <v>58576</v>
      </c>
      <c r="F17" s="44">
        <v>211275</v>
      </c>
      <c r="G17" s="12"/>
      <c r="H17" s="44">
        <v>73979</v>
      </c>
      <c r="I17" s="44">
        <v>195872</v>
      </c>
      <c r="J17" s="12"/>
      <c r="K17" s="44">
        <v>71375</v>
      </c>
      <c r="L17" s="44">
        <v>136889</v>
      </c>
      <c r="M17" s="44">
        <v>61587</v>
      </c>
    </row>
    <row r="18" spans="1:13">
      <c r="A18" s="118"/>
      <c r="B18" s="43">
        <v>4.685672091916393E-2</v>
      </c>
      <c r="C18" s="43">
        <v>0.24080278611012254</v>
      </c>
      <c r="D18" s="15"/>
      <c r="E18" s="43">
        <v>6.0673293744879238E-2</v>
      </c>
      <c r="F18" s="43">
        <v>0.15752085180178804</v>
      </c>
      <c r="G18" s="15"/>
      <c r="H18" s="43">
        <v>7.0219117360910077E-2</v>
      </c>
      <c r="I18" s="43">
        <v>0.15630508666636342</v>
      </c>
      <c r="J18" s="15"/>
      <c r="K18" s="43">
        <v>0.10255087672917661</v>
      </c>
      <c r="L18" s="43">
        <v>0.14398183306021217</v>
      </c>
      <c r="M18" s="43">
        <v>9.3320706114099553E-2</v>
      </c>
    </row>
    <row r="20" spans="1:13">
      <c r="A20" s="3" t="s">
        <v>32</v>
      </c>
      <c r="B20" s="4"/>
      <c r="C20" s="4"/>
      <c r="D20" s="4"/>
      <c r="E20" s="4"/>
      <c r="F20" s="4"/>
      <c r="G20" s="4"/>
      <c r="H20" s="4"/>
      <c r="I20" s="4"/>
      <c r="J20" s="4"/>
      <c r="K20" s="4"/>
      <c r="L20" s="4"/>
      <c r="M20" s="4"/>
    </row>
    <row r="21" spans="1:13">
      <c r="A21" s="5"/>
      <c r="B21" s="6" t="s">
        <v>16</v>
      </c>
      <c r="C21" s="7" t="s">
        <v>17</v>
      </c>
      <c r="D21" s="8"/>
      <c r="E21" s="9" t="s">
        <v>18</v>
      </c>
      <c r="F21" s="7" t="s">
        <v>19</v>
      </c>
      <c r="G21" s="8"/>
      <c r="H21" s="9" t="s">
        <v>20</v>
      </c>
      <c r="I21" s="7" t="s">
        <v>21</v>
      </c>
      <c r="J21" s="8"/>
      <c r="K21" s="9" t="s">
        <v>22</v>
      </c>
      <c r="L21" s="6" t="s">
        <v>23</v>
      </c>
      <c r="M21" s="6" t="s">
        <v>24</v>
      </c>
    </row>
    <row r="22" spans="1:13">
      <c r="A22" s="98" t="s">
        <v>25</v>
      </c>
      <c r="B22" s="44">
        <v>211545</v>
      </c>
      <c r="C22" s="44">
        <v>305389</v>
      </c>
      <c r="D22" s="12"/>
      <c r="E22" s="44">
        <v>520357</v>
      </c>
      <c r="F22" s="44">
        <v>878047</v>
      </c>
      <c r="G22" s="12"/>
      <c r="H22" s="44">
        <v>570579</v>
      </c>
      <c r="I22" s="44">
        <v>827825</v>
      </c>
      <c r="J22" s="12"/>
      <c r="K22" s="44">
        <v>414583</v>
      </c>
      <c r="L22" s="44">
        <v>618044</v>
      </c>
      <c r="M22" s="44">
        <v>365777</v>
      </c>
    </row>
    <row r="23" spans="1:13">
      <c r="A23" s="118"/>
      <c r="B23" s="43">
        <v>0.50811489841064728</v>
      </c>
      <c r="C23" s="43">
        <v>0.73087895308708162</v>
      </c>
      <c r="D23" s="14"/>
      <c r="E23" s="43">
        <v>0.52508804326986147</v>
      </c>
      <c r="F23" s="43">
        <v>0.64095513262243198</v>
      </c>
      <c r="G23" s="14"/>
      <c r="H23" s="43">
        <v>0.54932717941015918</v>
      </c>
      <c r="I23" s="43">
        <v>0.62609334241915227</v>
      </c>
      <c r="J23" s="14"/>
      <c r="K23" s="43">
        <v>0.59400951371178035</v>
      </c>
      <c r="L23" s="43">
        <v>0.63161487725265042</v>
      </c>
      <c r="M23" s="43">
        <v>0.53441791829817076</v>
      </c>
    </row>
    <row r="24" spans="1:13">
      <c r="A24" s="98" t="s">
        <v>26</v>
      </c>
      <c r="B24" s="44">
        <v>118935</v>
      </c>
      <c r="C24" s="44">
        <v>246183</v>
      </c>
      <c r="D24" s="12"/>
      <c r="E24" s="44">
        <v>310185</v>
      </c>
      <c r="F24" s="44">
        <v>651866</v>
      </c>
      <c r="G24" s="12"/>
      <c r="H24" s="44">
        <v>351986</v>
      </c>
      <c r="I24" s="44">
        <v>610065</v>
      </c>
      <c r="J24" s="12"/>
      <c r="K24" s="44">
        <v>280865</v>
      </c>
      <c r="L24" s="44">
        <v>445171</v>
      </c>
      <c r="M24" s="44">
        <v>236015</v>
      </c>
    </row>
    <row r="25" spans="1:13">
      <c r="A25" s="118"/>
      <c r="B25" s="43">
        <v>0.28567276675161468</v>
      </c>
      <c r="C25" s="43">
        <v>0.58918288906226812</v>
      </c>
      <c r="D25" s="14"/>
      <c r="E25" s="43">
        <v>0.31300517664154026</v>
      </c>
      <c r="F25" s="43">
        <v>0.47584794262955654</v>
      </c>
      <c r="G25" s="14"/>
      <c r="H25" s="43">
        <v>0.33887590775661963</v>
      </c>
      <c r="I25" s="43">
        <v>0.46139900938355338</v>
      </c>
      <c r="J25" s="14"/>
      <c r="K25" s="43">
        <v>0.40241997879473879</v>
      </c>
      <c r="L25" s="43">
        <v>0.45494596909190876</v>
      </c>
      <c r="M25" s="43">
        <v>0.34482934954123079</v>
      </c>
    </row>
    <row r="26" spans="1:13">
      <c r="A26" s="98" t="s">
        <v>27</v>
      </c>
      <c r="B26" s="44">
        <v>92610</v>
      </c>
      <c r="C26" s="44">
        <v>59206</v>
      </c>
      <c r="D26" s="12"/>
      <c r="E26" s="44">
        <v>210172</v>
      </c>
      <c r="F26" s="44">
        <v>226181</v>
      </c>
      <c r="G26" s="12"/>
      <c r="H26" s="44">
        <v>218593</v>
      </c>
      <c r="I26" s="44">
        <v>217760</v>
      </c>
      <c r="J26" s="12"/>
      <c r="K26" s="44">
        <v>133718</v>
      </c>
      <c r="L26" s="44">
        <v>172873</v>
      </c>
      <c r="M26" s="44">
        <v>129762</v>
      </c>
    </row>
    <row r="27" spans="1:13">
      <c r="A27" s="118"/>
      <c r="B27" s="43">
        <v>0.22244213165903257</v>
      </c>
      <c r="C27" s="43">
        <v>0.14169606402481344</v>
      </c>
      <c r="D27" s="14"/>
      <c r="E27" s="43">
        <v>0.21208286662832118</v>
      </c>
      <c r="F27" s="43">
        <v>0.16510718999287541</v>
      </c>
      <c r="G27" s="14"/>
      <c r="H27" s="43">
        <v>0.21045127165353952</v>
      </c>
      <c r="I27" s="43">
        <v>0.1646943330355988</v>
      </c>
      <c r="J27" s="14"/>
      <c r="K27" s="43">
        <v>0.19158953491704159</v>
      </c>
      <c r="L27" s="43">
        <v>0.17666890816074168</v>
      </c>
      <c r="M27" s="43">
        <v>0.18958856875693997</v>
      </c>
    </row>
    <row r="28" spans="1:13">
      <c r="A28" s="98" t="s">
        <v>28</v>
      </c>
      <c r="B28" s="44">
        <v>187623</v>
      </c>
      <c r="C28" s="44">
        <v>239718</v>
      </c>
      <c r="D28" s="12"/>
      <c r="E28" s="44">
        <v>451081</v>
      </c>
      <c r="F28" s="44">
        <v>702932</v>
      </c>
      <c r="G28" s="12"/>
      <c r="H28" s="44">
        <v>492338</v>
      </c>
      <c r="I28" s="44">
        <v>661675</v>
      </c>
      <c r="J28" s="12"/>
      <c r="K28" s="44">
        <v>348931</v>
      </c>
      <c r="L28" s="44">
        <v>498076</v>
      </c>
      <c r="M28" s="44">
        <v>307006</v>
      </c>
    </row>
    <row r="29" spans="1:13">
      <c r="A29" s="118"/>
      <c r="B29" s="43">
        <v>0.45065608539318286</v>
      </c>
      <c r="C29" s="43">
        <v>0.5737103853646629</v>
      </c>
      <c r="D29" s="14"/>
      <c r="E29" s="43">
        <v>0.4551821915458279</v>
      </c>
      <c r="F29" s="43">
        <v>0.51312500729978161</v>
      </c>
      <c r="G29" s="14"/>
      <c r="H29" s="43">
        <v>0.47400034851692568</v>
      </c>
      <c r="I29" s="43">
        <v>0.50043223186687102</v>
      </c>
      <c r="J29" s="14"/>
      <c r="K29" s="43">
        <v>0.49994412127116944</v>
      </c>
      <c r="L29" s="43">
        <v>0.50901264570563121</v>
      </c>
      <c r="M29" s="43">
        <v>0.4485506399392204</v>
      </c>
    </row>
    <row r="30" spans="1:13">
      <c r="A30" s="98" t="s">
        <v>29</v>
      </c>
      <c r="B30" s="44">
        <v>23922</v>
      </c>
      <c r="C30" s="44">
        <v>65671</v>
      </c>
      <c r="D30" s="12"/>
      <c r="E30" s="44">
        <v>69276</v>
      </c>
      <c r="F30" s="44">
        <v>175115</v>
      </c>
      <c r="G30" s="12"/>
      <c r="H30" s="44">
        <v>78241</v>
      </c>
      <c r="I30" s="44">
        <v>166150</v>
      </c>
      <c r="J30" s="12"/>
      <c r="K30" s="44">
        <v>65652</v>
      </c>
      <c r="L30" s="44">
        <v>119968</v>
      </c>
      <c r="M30" s="44">
        <v>58771</v>
      </c>
    </row>
    <row r="31" spans="1:13">
      <c r="A31" s="118"/>
      <c r="B31" s="43">
        <v>5.7458813017464389E-2</v>
      </c>
      <c r="C31" s="43">
        <v>0.15716856772241874</v>
      </c>
      <c r="D31" s="14"/>
      <c r="E31" s="43">
        <v>6.9905851724033546E-2</v>
      </c>
      <c r="F31" s="43">
        <v>0.12783012532265034</v>
      </c>
      <c r="G31" s="14"/>
      <c r="H31" s="43">
        <v>7.5326830893233471E-2</v>
      </c>
      <c r="I31" s="43">
        <v>0.12566111055228116</v>
      </c>
      <c r="J31" s="14"/>
      <c r="K31" s="43">
        <v>9.4065392440610934E-2</v>
      </c>
      <c r="L31" s="43">
        <v>0.12260223154701926</v>
      </c>
      <c r="M31" s="43">
        <v>8.5867278358950389E-2</v>
      </c>
    </row>
    <row r="32" spans="1:13">
      <c r="A32" s="98" t="s">
        <v>30</v>
      </c>
      <c r="B32" s="44">
        <v>192700</v>
      </c>
      <c r="C32" s="44">
        <v>207586</v>
      </c>
      <c r="D32" s="12"/>
      <c r="E32" s="44">
        <v>460527</v>
      </c>
      <c r="F32" s="44">
        <v>657528</v>
      </c>
      <c r="G32" s="12"/>
      <c r="H32" s="44">
        <v>496276</v>
      </c>
      <c r="I32" s="44">
        <v>621779</v>
      </c>
      <c r="J32" s="12"/>
      <c r="K32" s="44">
        <v>341541</v>
      </c>
      <c r="L32" s="44">
        <v>475867</v>
      </c>
      <c r="M32" s="44">
        <v>300647</v>
      </c>
    </row>
    <row r="33" spans="1:13">
      <c r="A33" s="118"/>
      <c r="B33" s="43">
        <v>0.46285065080116156</v>
      </c>
      <c r="C33" s="43">
        <v>0.4968097683791326</v>
      </c>
      <c r="D33" s="14"/>
      <c r="E33" s="43">
        <v>0.46471407380498292</v>
      </c>
      <c r="F33" s="43">
        <v>0.47998107896611736</v>
      </c>
      <c r="G33" s="14"/>
      <c r="H33" s="43">
        <v>0.47779167352628849</v>
      </c>
      <c r="I33" s="43">
        <v>0.47025843910976117</v>
      </c>
      <c r="J33" s="14"/>
      <c r="K33" s="43">
        <v>0.48935581855173799</v>
      </c>
      <c r="L33" s="43">
        <v>0.48631598525928094</v>
      </c>
      <c r="M33" s="43">
        <v>0.43925983285605752</v>
      </c>
    </row>
    <row r="34" spans="1:13">
      <c r="A34" s="98" t="s">
        <v>31</v>
      </c>
      <c r="B34" s="44">
        <v>18845</v>
      </c>
      <c r="C34" s="44">
        <v>97803</v>
      </c>
      <c r="D34" s="12"/>
      <c r="E34" s="44">
        <v>59830</v>
      </c>
      <c r="F34" s="44">
        <v>220519</v>
      </c>
      <c r="G34" s="12"/>
      <c r="H34" s="44">
        <v>74303</v>
      </c>
      <c r="I34" s="44">
        <v>206046</v>
      </c>
      <c r="J34" s="12"/>
      <c r="K34" s="44">
        <v>73042</v>
      </c>
      <c r="L34" s="44">
        <v>142177</v>
      </c>
      <c r="M34" s="44">
        <v>65130</v>
      </c>
    </row>
    <row r="35" spans="1:13">
      <c r="A35" s="118"/>
      <c r="B35" s="43">
        <v>4.5264247609485678E-2</v>
      </c>
      <c r="C35" s="43">
        <v>0.23406918470794902</v>
      </c>
      <c r="D35" s="15"/>
      <c r="E35" s="43">
        <v>6.0373969464878559E-2</v>
      </c>
      <c r="F35" s="43">
        <v>0.16097405365631459</v>
      </c>
      <c r="G35" s="15"/>
      <c r="H35" s="43">
        <v>7.1535505883870698E-2</v>
      </c>
      <c r="I35" s="43">
        <v>0.15583490330939104</v>
      </c>
      <c r="J35" s="15"/>
      <c r="K35" s="43">
        <v>0.10465369516004241</v>
      </c>
      <c r="L35" s="43">
        <v>0.14529889199336954</v>
      </c>
      <c r="M35" s="43">
        <v>9.5158085442113266E-2</v>
      </c>
    </row>
    <row r="37" spans="1:13">
      <c r="A37" s="16" t="s">
        <v>33</v>
      </c>
      <c r="B37" s="4"/>
      <c r="C37" s="4"/>
      <c r="D37" s="4"/>
      <c r="E37" s="4"/>
      <c r="F37" s="4"/>
      <c r="G37" s="4"/>
      <c r="H37" s="4"/>
      <c r="I37" s="4"/>
      <c r="J37" s="4"/>
      <c r="K37" s="4"/>
      <c r="L37" s="4"/>
      <c r="M37" s="4"/>
    </row>
    <row r="38" spans="1:13">
      <c r="A38" s="5"/>
      <c r="B38" s="6" t="s">
        <v>16</v>
      </c>
      <c r="C38" s="7" t="s">
        <v>17</v>
      </c>
      <c r="D38" s="8"/>
      <c r="E38" s="9" t="s">
        <v>18</v>
      </c>
      <c r="F38" s="7" t="s">
        <v>19</v>
      </c>
      <c r="G38" s="8"/>
      <c r="H38" s="9" t="s">
        <v>20</v>
      </c>
      <c r="I38" s="7" t="s">
        <v>21</v>
      </c>
      <c r="J38" s="8"/>
      <c r="K38" s="9" t="s">
        <v>22</v>
      </c>
      <c r="L38" s="6" t="s">
        <v>23</v>
      </c>
      <c r="M38" s="6" t="s">
        <v>24</v>
      </c>
    </row>
    <row r="39" spans="1:13">
      <c r="A39" s="98" t="s">
        <v>25</v>
      </c>
      <c r="B39" s="44">
        <v>227500</v>
      </c>
      <c r="C39" s="44">
        <v>315852</v>
      </c>
      <c r="D39" s="12"/>
      <c r="E39" s="44">
        <v>558708</v>
      </c>
      <c r="F39" s="44">
        <v>917633</v>
      </c>
      <c r="G39" s="12"/>
      <c r="H39" s="44">
        <v>611985</v>
      </c>
      <c r="I39" s="44">
        <v>864356</v>
      </c>
      <c r="J39" s="12"/>
      <c r="K39" s="44">
        <v>438956</v>
      </c>
      <c r="L39" s="44">
        <v>651241</v>
      </c>
      <c r="M39" s="44">
        <v>386144</v>
      </c>
    </row>
    <row r="40" spans="1:13">
      <c r="A40" s="118"/>
      <c r="B40" s="43">
        <v>0.5464375872198457</v>
      </c>
      <c r="C40" s="43">
        <v>0.75591975837525549</v>
      </c>
      <c r="D40" s="14"/>
      <c r="E40" s="43">
        <v>0.56378772742409111</v>
      </c>
      <c r="F40" s="43">
        <v>0.66985204802672305</v>
      </c>
      <c r="G40" s="14"/>
      <c r="H40" s="43">
        <v>0.58919096898295642</v>
      </c>
      <c r="I40" s="43">
        <v>0.65372214789363536</v>
      </c>
      <c r="J40" s="14"/>
      <c r="K40" s="43">
        <v>0.62893085365504198</v>
      </c>
      <c r="L40" s="43">
        <v>0.66554080984022712</v>
      </c>
      <c r="M40" s="43">
        <v>0.56417509204605221</v>
      </c>
    </row>
    <row r="41" spans="1:13">
      <c r="A41" s="98" t="s">
        <v>26</v>
      </c>
      <c r="B41" s="44">
        <v>124451</v>
      </c>
      <c r="C41" s="44">
        <v>253034</v>
      </c>
      <c r="D41" s="12"/>
      <c r="E41" s="44">
        <v>325570</v>
      </c>
      <c r="F41" s="44">
        <v>672682</v>
      </c>
      <c r="G41" s="12"/>
      <c r="H41" s="44">
        <v>369323</v>
      </c>
      <c r="I41" s="44">
        <v>628929</v>
      </c>
      <c r="J41" s="12"/>
      <c r="K41" s="44">
        <v>291301</v>
      </c>
      <c r="L41" s="44">
        <v>461353</v>
      </c>
      <c r="M41" s="44">
        <v>245598</v>
      </c>
    </row>
    <row r="42" spans="1:13">
      <c r="A42" s="118"/>
      <c r="B42" s="43">
        <v>0.2989217765586682</v>
      </c>
      <c r="C42" s="43">
        <v>0.60557919576486585</v>
      </c>
      <c r="D42" s="14"/>
      <c r="E42" s="43">
        <v>0.32853005580278305</v>
      </c>
      <c r="F42" s="43">
        <v>0.4910431679884138</v>
      </c>
      <c r="G42" s="14"/>
      <c r="H42" s="43">
        <v>0.35556717278641209</v>
      </c>
      <c r="I42" s="43">
        <v>0.47566606439082532</v>
      </c>
      <c r="J42" s="14"/>
      <c r="K42" s="43">
        <v>0.41737255351462876</v>
      </c>
      <c r="L42" s="43">
        <v>0.471483289968258</v>
      </c>
      <c r="M42" s="43">
        <v>0.35883057682192743</v>
      </c>
    </row>
    <row r="43" spans="1:13">
      <c r="A43" s="98" t="s">
        <v>27</v>
      </c>
      <c r="B43" s="44">
        <v>103049</v>
      </c>
      <c r="C43" s="44">
        <v>62818</v>
      </c>
      <c r="D43" s="12"/>
      <c r="E43" s="44">
        <v>233138</v>
      </c>
      <c r="F43" s="44">
        <v>244951</v>
      </c>
      <c r="G43" s="12"/>
      <c r="H43" s="44">
        <v>242662</v>
      </c>
      <c r="I43" s="44">
        <v>235427</v>
      </c>
      <c r="J43" s="12"/>
      <c r="K43" s="44">
        <v>147655</v>
      </c>
      <c r="L43" s="44">
        <v>189888</v>
      </c>
      <c r="M43" s="44">
        <v>140546</v>
      </c>
    </row>
    <row r="44" spans="1:13">
      <c r="A44" s="118"/>
      <c r="B44" s="43">
        <v>0.24751581066117748</v>
      </c>
      <c r="C44" s="43">
        <v>0.15034056261038967</v>
      </c>
      <c r="D44" s="14"/>
      <c r="E44" s="43">
        <v>0.23525767162130798</v>
      </c>
      <c r="F44" s="43">
        <v>0.17880888003830925</v>
      </c>
      <c r="G44" s="14"/>
      <c r="H44" s="43">
        <v>0.2336237961965443</v>
      </c>
      <c r="I44" s="43">
        <v>0.17805608350281008</v>
      </c>
      <c r="J44" s="14"/>
      <c r="K44" s="43">
        <v>0.21155830014041321</v>
      </c>
      <c r="L44" s="43">
        <v>0.19405751987196912</v>
      </c>
      <c r="M44" s="43">
        <v>0.20534451522412484</v>
      </c>
    </row>
    <row r="45" spans="1:13">
      <c r="A45" s="98" t="s">
        <v>28</v>
      </c>
      <c r="B45" s="44">
        <v>201607</v>
      </c>
      <c r="C45" s="44">
        <v>248544</v>
      </c>
      <c r="D45" s="12"/>
      <c r="E45" s="44">
        <v>484729</v>
      </c>
      <c r="F45" s="44">
        <v>736659</v>
      </c>
      <c r="G45" s="12"/>
      <c r="H45" s="44">
        <v>528447</v>
      </c>
      <c r="I45" s="44">
        <v>692941</v>
      </c>
      <c r="J45" s="12"/>
      <c r="K45" s="44">
        <v>370027</v>
      </c>
      <c r="L45" s="44">
        <v>526781</v>
      </c>
      <c r="M45" s="44">
        <v>324580</v>
      </c>
    </row>
    <row r="46" spans="1:13">
      <c r="A46" s="118"/>
      <c r="B46" s="43">
        <v>0.48424458306211615</v>
      </c>
      <c r="C46" s="43">
        <v>0.59483340433373699</v>
      </c>
      <c r="D46" s="14"/>
      <c r="E46" s="43">
        <v>0.48913611640884369</v>
      </c>
      <c r="F46" s="43">
        <v>0.5377449806701784</v>
      </c>
      <c r="G46" s="14"/>
      <c r="H46" s="43">
        <v>0.50876443047809394</v>
      </c>
      <c r="I46" s="43">
        <v>0.52407905872529792</v>
      </c>
      <c r="J46" s="14"/>
      <c r="K46" s="43">
        <v>0.53017021520474539</v>
      </c>
      <c r="L46" s="43">
        <v>0.53834794392313245</v>
      </c>
      <c r="M46" s="43">
        <v>0.47422710537081408</v>
      </c>
    </row>
    <row r="47" spans="1:13">
      <c r="A47" s="98" t="s">
        <v>29</v>
      </c>
      <c r="B47" s="44">
        <v>25893</v>
      </c>
      <c r="C47" s="44">
        <v>67308</v>
      </c>
      <c r="D47" s="12"/>
      <c r="E47" s="44">
        <v>73979</v>
      </c>
      <c r="F47" s="44">
        <v>180974</v>
      </c>
      <c r="G47" s="12"/>
      <c r="H47" s="44">
        <v>83538</v>
      </c>
      <c r="I47" s="44">
        <v>171415</v>
      </c>
      <c r="J47" s="12"/>
      <c r="K47" s="44">
        <v>68929</v>
      </c>
      <c r="L47" s="44">
        <v>124460</v>
      </c>
      <c r="M47" s="44">
        <v>61564</v>
      </c>
    </row>
    <row r="48" spans="1:13">
      <c r="A48" s="118"/>
      <c r="B48" s="43">
        <v>6.2193004157729513E-2</v>
      </c>
      <c r="C48" s="43">
        <v>0.16108635404151847</v>
      </c>
      <c r="D48" s="14"/>
      <c r="E48" s="43">
        <v>7.4651611015247379E-2</v>
      </c>
      <c r="F48" s="43">
        <v>0.13210706735654471</v>
      </c>
      <c r="G48" s="14"/>
      <c r="H48" s="43">
        <v>8.0426538504862394E-2</v>
      </c>
      <c r="I48" s="43">
        <v>0.12964308916833747</v>
      </c>
      <c r="J48" s="14"/>
      <c r="K48" s="43">
        <v>9.8760638450296589E-2</v>
      </c>
      <c r="L48" s="43">
        <v>0.12719286591709469</v>
      </c>
      <c r="M48" s="43">
        <v>8.9947986675238151E-2</v>
      </c>
    </row>
    <row r="49" spans="1:13">
      <c r="A49" s="98" t="s">
        <v>30</v>
      </c>
      <c r="B49" s="44">
        <v>206684</v>
      </c>
      <c r="C49" s="44">
        <v>215906</v>
      </c>
      <c r="D49" s="12"/>
      <c r="E49" s="44">
        <v>493744</v>
      </c>
      <c r="F49" s="44">
        <v>690191</v>
      </c>
      <c r="G49" s="12"/>
      <c r="H49" s="44">
        <v>532235</v>
      </c>
      <c r="I49" s="44">
        <v>651700</v>
      </c>
      <c r="J49" s="12"/>
      <c r="K49" s="44">
        <v>362382</v>
      </c>
      <c r="L49" s="44">
        <v>503954</v>
      </c>
      <c r="M49" s="44">
        <v>317599</v>
      </c>
    </row>
    <row r="50" spans="1:13">
      <c r="A50" s="118"/>
      <c r="B50" s="43">
        <v>0.49643914847009485</v>
      </c>
      <c r="C50" s="43">
        <v>0.51672179169917531</v>
      </c>
      <c r="D50" s="14"/>
      <c r="E50" s="43">
        <v>0.49823308005126188</v>
      </c>
      <c r="F50" s="43">
        <v>0.50382435557528116</v>
      </c>
      <c r="G50" s="14"/>
      <c r="H50" s="43">
        <v>0.51241134239669894</v>
      </c>
      <c r="I50" s="43">
        <v>0.4928880273663655</v>
      </c>
      <c r="J50" s="14"/>
      <c r="K50" s="43">
        <v>0.51921655156603719</v>
      </c>
      <c r="L50" s="43">
        <v>0.515019713565672</v>
      </c>
      <c r="M50" s="43">
        <v>0.46402752615276721</v>
      </c>
    </row>
    <row r="51" spans="1:13">
      <c r="A51" s="98" t="s">
        <v>31</v>
      </c>
      <c r="B51" s="44">
        <v>20816</v>
      </c>
      <c r="C51" s="44">
        <v>99946</v>
      </c>
      <c r="D51" s="12"/>
      <c r="E51" s="44">
        <v>64964</v>
      </c>
      <c r="F51" s="44">
        <v>227442</v>
      </c>
      <c r="G51" s="12"/>
      <c r="H51" s="44">
        <v>79750</v>
      </c>
      <c r="I51" s="44">
        <v>212656</v>
      </c>
      <c r="J51" s="12"/>
      <c r="K51" s="44">
        <v>76574</v>
      </c>
      <c r="L51" s="44">
        <v>147287</v>
      </c>
      <c r="M51" s="44">
        <v>68545</v>
      </c>
    </row>
    <row r="52" spans="1:13">
      <c r="A52" s="118"/>
      <c r="B52" s="43">
        <v>4.9998438749750802E-2</v>
      </c>
      <c r="C52" s="43">
        <v>0.2391979666760802</v>
      </c>
      <c r="D52" s="15"/>
      <c r="E52" s="43">
        <v>6.5554647372829192E-2</v>
      </c>
      <c r="F52" s="43">
        <v>0.16602769245144186</v>
      </c>
      <c r="G52" s="15"/>
      <c r="H52" s="43">
        <v>7.6779626586257463E-2</v>
      </c>
      <c r="I52" s="43">
        <v>0.16083412052726995</v>
      </c>
      <c r="J52" s="15"/>
      <c r="K52" s="43">
        <v>0.10971430208900479</v>
      </c>
      <c r="L52" s="43">
        <v>0.15052109627455509</v>
      </c>
      <c r="M52" s="43">
        <v>0.10014756589328502</v>
      </c>
    </row>
    <row r="54" spans="1:13">
      <c r="A54" s="16" t="s">
        <v>34</v>
      </c>
      <c r="B54" s="4"/>
      <c r="C54" s="4"/>
      <c r="D54" s="4"/>
      <c r="E54" s="4"/>
      <c r="F54" s="4"/>
      <c r="G54" s="4"/>
      <c r="H54" s="4"/>
      <c r="I54" s="4"/>
      <c r="J54" s="4"/>
      <c r="K54" s="4"/>
      <c r="L54" s="4"/>
      <c r="M54" s="4"/>
    </row>
    <row r="55" spans="1:13">
      <c r="A55" s="5"/>
      <c r="B55" s="6" t="s">
        <v>16</v>
      </c>
      <c r="C55" s="7" t="s">
        <v>17</v>
      </c>
      <c r="D55" s="8"/>
      <c r="E55" s="9" t="s">
        <v>18</v>
      </c>
      <c r="F55" s="7" t="s">
        <v>19</v>
      </c>
      <c r="G55" s="8"/>
      <c r="H55" s="9" t="s">
        <v>20</v>
      </c>
      <c r="I55" s="7" t="s">
        <v>21</v>
      </c>
      <c r="J55" s="8"/>
      <c r="K55" s="9" t="s">
        <v>22</v>
      </c>
      <c r="L55" s="6" t="s">
        <v>23</v>
      </c>
      <c r="M55" s="6" t="s">
        <v>24</v>
      </c>
    </row>
    <row r="56" spans="1:13">
      <c r="A56" s="98" t="s">
        <v>25</v>
      </c>
      <c r="B56" s="44">
        <v>216294</v>
      </c>
      <c r="C56" s="44">
        <v>364790</v>
      </c>
      <c r="D56" s="12"/>
      <c r="E56" s="44">
        <v>528912</v>
      </c>
      <c r="F56" s="44">
        <v>949689</v>
      </c>
      <c r="G56" s="12"/>
      <c r="H56" s="44">
        <v>577220</v>
      </c>
      <c r="I56" s="44">
        <v>901381</v>
      </c>
      <c r="J56" s="12"/>
      <c r="K56" s="44">
        <v>422726</v>
      </c>
      <c r="L56" s="44">
        <v>657517</v>
      </c>
      <c r="M56" s="44">
        <v>398358</v>
      </c>
    </row>
    <row r="57" spans="1:13">
      <c r="A57" s="118"/>
      <c r="B57" s="43">
        <v>0.5497439286304312</v>
      </c>
      <c r="C57" s="43">
        <v>0.74711478398001085</v>
      </c>
      <c r="D57" s="14"/>
      <c r="E57" s="43">
        <v>0.56609783455633667</v>
      </c>
      <c r="F57" s="43">
        <v>0.67350916024200369</v>
      </c>
      <c r="G57" s="14"/>
      <c r="H57" s="43">
        <v>0.58967391304347827</v>
      </c>
      <c r="I57" s="43">
        <v>0.66011396616460138</v>
      </c>
      <c r="J57" s="14"/>
      <c r="K57" s="43">
        <v>0.63480569563036671</v>
      </c>
      <c r="L57" s="43">
        <v>0.66808951660019811</v>
      </c>
      <c r="M57" s="43">
        <v>0.57376808337798368</v>
      </c>
    </row>
    <row r="58" spans="1:13">
      <c r="A58" s="98" t="s">
        <v>26</v>
      </c>
      <c r="B58" s="44">
        <v>120814</v>
      </c>
      <c r="C58" s="44">
        <v>290899</v>
      </c>
      <c r="D58" s="12"/>
      <c r="E58" s="44">
        <v>311956</v>
      </c>
      <c r="F58" s="44">
        <v>701791</v>
      </c>
      <c r="G58" s="12"/>
      <c r="H58" s="44">
        <v>358073</v>
      </c>
      <c r="I58" s="44">
        <v>655674</v>
      </c>
      <c r="J58" s="12"/>
      <c r="K58" s="44">
        <v>284741</v>
      </c>
      <c r="L58" s="44">
        <v>472288</v>
      </c>
      <c r="M58" s="44">
        <v>256718</v>
      </c>
    </row>
    <row r="59" spans="1:13">
      <c r="A59" s="118"/>
      <c r="B59" s="43">
        <v>0.30706706146983698</v>
      </c>
      <c r="C59" s="43">
        <v>0.59578097959100074</v>
      </c>
      <c r="D59" s="14"/>
      <c r="E59" s="43">
        <v>0.33388846552329415</v>
      </c>
      <c r="F59" s="43">
        <v>0.49770258166136078</v>
      </c>
      <c r="G59" s="14"/>
      <c r="H59" s="43">
        <v>0.36579866786531545</v>
      </c>
      <c r="I59" s="43">
        <v>0.48017382732829827</v>
      </c>
      <c r="J59" s="14"/>
      <c r="K59" s="43">
        <v>0.42759425391266742</v>
      </c>
      <c r="L59" s="43">
        <v>0.47988213478294001</v>
      </c>
      <c r="M59" s="43">
        <v>0.36975934920003917</v>
      </c>
    </row>
    <row r="60" spans="1:13">
      <c r="A60" s="98" t="s">
        <v>27</v>
      </c>
      <c r="B60" s="44">
        <v>95480</v>
      </c>
      <c r="C60" s="44">
        <v>73891</v>
      </c>
      <c r="D60" s="12"/>
      <c r="E60" s="44">
        <v>216956</v>
      </c>
      <c r="F60" s="44">
        <v>247898</v>
      </c>
      <c r="G60" s="12"/>
      <c r="H60" s="44">
        <v>219147</v>
      </c>
      <c r="I60" s="44">
        <v>245707</v>
      </c>
      <c r="J60" s="12"/>
      <c r="K60" s="44">
        <v>137985</v>
      </c>
      <c r="L60" s="44">
        <v>185229</v>
      </c>
      <c r="M60" s="44">
        <v>141640</v>
      </c>
    </row>
    <row r="61" spans="1:13">
      <c r="A61" s="118"/>
      <c r="B61" s="43">
        <v>0.24267686716059425</v>
      </c>
      <c r="C61" s="43">
        <v>0.15133380438901006</v>
      </c>
      <c r="D61" s="14"/>
      <c r="E61" s="43">
        <v>0.23220936903304248</v>
      </c>
      <c r="F61" s="43">
        <v>0.17580657858064297</v>
      </c>
      <c r="G61" s="14"/>
      <c r="H61" s="43">
        <v>0.22387524517816279</v>
      </c>
      <c r="I61" s="43">
        <v>0.17994013883630308</v>
      </c>
      <c r="J61" s="14"/>
      <c r="K61" s="43">
        <v>0.20721144171769929</v>
      </c>
      <c r="L61" s="43">
        <v>0.1882073818172581</v>
      </c>
      <c r="M61" s="43">
        <v>0.20400873417794446</v>
      </c>
    </row>
    <row r="62" spans="1:13">
      <c r="A62" s="98" t="s">
        <v>28</v>
      </c>
      <c r="B62" s="44">
        <v>190476</v>
      </c>
      <c r="C62" s="44">
        <v>285861</v>
      </c>
      <c r="D62" s="12"/>
      <c r="E62" s="44">
        <v>458093</v>
      </c>
      <c r="F62" s="44">
        <v>758403</v>
      </c>
      <c r="G62" s="12"/>
      <c r="H62" s="44">
        <v>496041</v>
      </c>
      <c r="I62" s="44">
        <v>720455</v>
      </c>
      <c r="J62" s="12"/>
      <c r="K62" s="44">
        <v>354114</v>
      </c>
      <c r="L62" s="44">
        <v>527799</v>
      </c>
      <c r="M62" s="44">
        <v>334583</v>
      </c>
    </row>
    <row r="63" spans="1:13">
      <c r="A63" s="118"/>
      <c r="B63" s="43">
        <v>0.48412357508673387</v>
      </c>
      <c r="C63" s="43">
        <v>0.58546281220239005</v>
      </c>
      <c r="D63" s="14"/>
      <c r="E63" s="43">
        <v>0.49029981419482999</v>
      </c>
      <c r="F63" s="43">
        <v>0.53785119934527659</v>
      </c>
      <c r="G63" s="14"/>
      <c r="H63" s="43">
        <v>0.50674342105263159</v>
      </c>
      <c r="I63" s="43">
        <v>0.52761530084738628</v>
      </c>
      <c r="J63" s="14"/>
      <c r="K63" s="43">
        <v>0.53177136987659068</v>
      </c>
      <c r="L63" s="43">
        <v>0.53628572154342469</v>
      </c>
      <c r="M63" s="43">
        <v>0.48191086068525274</v>
      </c>
    </row>
    <row r="64" spans="1:13">
      <c r="A64" s="98" t="s">
        <v>29</v>
      </c>
      <c r="B64" s="44">
        <v>25818</v>
      </c>
      <c r="C64" s="44">
        <v>78929</v>
      </c>
      <c r="D64" s="12"/>
      <c r="E64" s="44">
        <v>70819</v>
      </c>
      <c r="F64" s="44">
        <v>191286</v>
      </c>
      <c r="G64" s="12"/>
      <c r="H64" s="44">
        <v>81179</v>
      </c>
      <c r="I64" s="44">
        <v>180926</v>
      </c>
      <c r="J64" s="12"/>
      <c r="K64" s="44">
        <v>68612</v>
      </c>
      <c r="L64" s="44">
        <v>129718</v>
      </c>
      <c r="M64" s="44">
        <v>63775</v>
      </c>
    </row>
    <row r="65" spans="1:13">
      <c r="A65" s="118"/>
      <c r="B65" s="43">
        <v>6.5620353543697343E-2</v>
      </c>
      <c r="C65" s="43">
        <v>0.16165197177762075</v>
      </c>
      <c r="D65" s="14"/>
      <c r="E65" s="43">
        <v>7.5798020361506652E-2</v>
      </c>
      <c r="F65" s="43">
        <v>0.13565796089672716</v>
      </c>
      <c r="G65" s="14"/>
      <c r="H65" s="43">
        <v>8.2930491990846678E-2</v>
      </c>
      <c r="I65" s="43">
        <v>0.1324986653172151</v>
      </c>
      <c r="J65" s="14"/>
      <c r="K65" s="43">
        <v>0.10303432575377601</v>
      </c>
      <c r="L65" s="43">
        <v>0.13180379505677345</v>
      </c>
      <c r="M65" s="43">
        <v>9.185722269273093E-2</v>
      </c>
    </row>
    <row r="66" spans="1:13">
      <c r="A66" s="98" t="s">
        <v>30</v>
      </c>
      <c r="B66" s="44">
        <v>195547</v>
      </c>
      <c r="C66" s="44">
        <v>251614</v>
      </c>
      <c r="D66" s="12"/>
      <c r="E66" s="44">
        <v>469051</v>
      </c>
      <c r="F66" s="44">
        <v>711453</v>
      </c>
      <c r="G66" s="12"/>
      <c r="H66" s="44">
        <v>501232</v>
      </c>
      <c r="I66" s="44">
        <v>679272</v>
      </c>
      <c r="J66" s="12"/>
      <c r="K66" s="44">
        <v>349318</v>
      </c>
      <c r="L66" s="44">
        <v>504618</v>
      </c>
      <c r="M66" s="44">
        <v>326568</v>
      </c>
    </row>
    <row r="67" spans="1:13">
      <c r="A67" s="118"/>
      <c r="B67" s="43">
        <v>0.49701228888408799</v>
      </c>
      <c r="C67" s="43">
        <v>0.51532262193685807</v>
      </c>
      <c r="D67" s="14"/>
      <c r="E67" s="43">
        <v>0.50202823039841082</v>
      </c>
      <c r="F67" s="43">
        <v>0.50455476748878236</v>
      </c>
      <c r="G67" s="14"/>
      <c r="H67" s="43">
        <v>0.5120464203988232</v>
      </c>
      <c r="I67" s="43">
        <v>0.49745549775795261</v>
      </c>
      <c r="J67" s="14"/>
      <c r="K67" s="43">
        <v>0.5245692386704589</v>
      </c>
      <c r="L67" s="43">
        <v>0.51273198364112071</v>
      </c>
      <c r="M67" s="43">
        <v>0.47036659349776172</v>
      </c>
    </row>
    <row r="68" spans="1:13">
      <c r="A68" s="98" t="s">
        <v>31</v>
      </c>
      <c r="B68" s="44">
        <v>20747</v>
      </c>
      <c r="C68" s="44">
        <v>113176</v>
      </c>
      <c r="D68" s="12"/>
      <c r="E68" s="44">
        <v>59861</v>
      </c>
      <c r="F68" s="44">
        <v>238236</v>
      </c>
      <c r="G68" s="12"/>
      <c r="H68" s="44">
        <v>75988</v>
      </c>
      <c r="I68" s="44">
        <v>222109</v>
      </c>
      <c r="J68" s="12"/>
      <c r="K68" s="44">
        <v>73408</v>
      </c>
      <c r="L68" s="44">
        <v>152899</v>
      </c>
      <c r="M68" s="44">
        <v>71790</v>
      </c>
    </row>
    <row r="69" spans="1:13">
      <c r="A69" s="118"/>
      <c r="B69" s="43">
        <v>5.2731639746343199E-2</v>
      </c>
      <c r="C69" s="43">
        <v>0.23179216204315278</v>
      </c>
      <c r="D69" s="15"/>
      <c r="E69" s="43">
        <v>6.4069604157925827E-2</v>
      </c>
      <c r="F69" s="43">
        <v>0.16895439275322133</v>
      </c>
      <c r="G69" s="15"/>
      <c r="H69" s="43">
        <v>7.7627492644655113E-2</v>
      </c>
      <c r="I69" s="43">
        <v>0.16265846840664874</v>
      </c>
      <c r="J69" s="15"/>
      <c r="K69" s="43">
        <v>0.11023645695990773</v>
      </c>
      <c r="L69" s="43">
        <v>0.15535753295907739</v>
      </c>
      <c r="M69" s="43">
        <v>0.10340148988022192</v>
      </c>
    </row>
    <row r="71" spans="1:13">
      <c r="A71" s="16" t="s">
        <v>35</v>
      </c>
      <c r="B71" s="4"/>
      <c r="C71" s="4"/>
      <c r="D71" s="4"/>
      <c r="E71" s="4"/>
      <c r="F71" s="4"/>
      <c r="G71" s="4"/>
      <c r="H71" s="4"/>
      <c r="I71" s="4"/>
      <c r="J71" s="4"/>
      <c r="K71" s="4"/>
      <c r="L71" s="4"/>
      <c r="M71" s="4"/>
    </row>
    <row r="72" spans="1:13">
      <c r="A72" s="5"/>
      <c r="B72" s="6" t="s">
        <v>16</v>
      </c>
      <c r="C72" s="7" t="s">
        <v>17</v>
      </c>
      <c r="D72" s="8"/>
      <c r="E72" s="9" t="s">
        <v>18</v>
      </c>
      <c r="F72" s="7" t="s">
        <v>19</v>
      </c>
      <c r="G72" s="8"/>
      <c r="H72" s="9" t="s">
        <v>20</v>
      </c>
      <c r="I72" s="7" t="s">
        <v>21</v>
      </c>
      <c r="J72" s="8"/>
      <c r="K72" s="9" t="s">
        <v>22</v>
      </c>
      <c r="L72" s="6" t="s">
        <v>23</v>
      </c>
      <c r="M72" s="6" t="s">
        <v>24</v>
      </c>
    </row>
    <row r="73" spans="1:13">
      <c r="A73" s="98" t="s">
        <v>25</v>
      </c>
      <c r="B73" s="44">
        <v>230955</v>
      </c>
      <c r="C73" s="44">
        <v>380174</v>
      </c>
      <c r="D73" s="12"/>
      <c r="E73" s="44">
        <v>564766</v>
      </c>
      <c r="F73" s="44">
        <v>997804</v>
      </c>
      <c r="G73" s="12"/>
      <c r="H73" s="44">
        <v>615168</v>
      </c>
      <c r="I73" s="44">
        <v>947402</v>
      </c>
      <c r="J73" s="12"/>
      <c r="K73" s="44">
        <v>447147</v>
      </c>
      <c r="L73" s="44">
        <v>692486</v>
      </c>
      <c r="M73" s="44">
        <v>422937</v>
      </c>
    </row>
    <row r="74" spans="1:13">
      <c r="A74" s="118"/>
      <c r="B74" s="43">
        <v>0.58700707849890077</v>
      </c>
      <c r="C74" s="43">
        <v>0.77862226454896422</v>
      </c>
      <c r="D74" s="14"/>
      <c r="E74" s="43">
        <v>0.60447259587803648</v>
      </c>
      <c r="F74" s="43">
        <v>0.70763179748961214</v>
      </c>
      <c r="G74" s="14"/>
      <c r="H74" s="43">
        <v>0.62844066688460276</v>
      </c>
      <c r="I74" s="43">
        <v>0.69381681194996969</v>
      </c>
      <c r="J74" s="14"/>
      <c r="K74" s="43">
        <v>0.67147859933865339</v>
      </c>
      <c r="L74" s="43">
        <v>0.70362079914649323</v>
      </c>
      <c r="M74" s="43">
        <v>0.60917002264203124</v>
      </c>
    </row>
    <row r="75" spans="1:13">
      <c r="A75" s="98" t="s">
        <v>26</v>
      </c>
      <c r="B75" s="44">
        <v>125579</v>
      </c>
      <c r="C75" s="44">
        <v>297957</v>
      </c>
      <c r="D75" s="12"/>
      <c r="E75" s="44">
        <v>324130</v>
      </c>
      <c r="F75" s="44">
        <v>721568</v>
      </c>
      <c r="G75" s="12"/>
      <c r="H75" s="44">
        <v>371312</v>
      </c>
      <c r="I75" s="44">
        <v>674386</v>
      </c>
      <c r="J75" s="12"/>
      <c r="K75" s="44">
        <v>293799</v>
      </c>
      <c r="L75" s="44">
        <v>485757</v>
      </c>
      <c r="M75" s="44">
        <v>266142</v>
      </c>
    </row>
    <row r="76" spans="1:13">
      <c r="A76" s="118"/>
      <c r="B76" s="43">
        <v>0.31917802996606898</v>
      </c>
      <c r="C76" s="43">
        <v>0.61023624466222237</v>
      </c>
      <c r="D76" s="14"/>
      <c r="E76" s="43">
        <v>0.3469183741619502</v>
      </c>
      <c r="F76" s="43">
        <v>0.51172821601334972</v>
      </c>
      <c r="G76" s="14"/>
      <c r="H76" s="43">
        <v>0.37932330827067667</v>
      </c>
      <c r="I76" s="43">
        <v>0.49387730292282717</v>
      </c>
      <c r="J76" s="14"/>
      <c r="K76" s="43">
        <v>0.44119661097378943</v>
      </c>
      <c r="L76" s="43">
        <v>0.49356770899484342</v>
      </c>
      <c r="M76" s="43">
        <v>0.38333304526677842</v>
      </c>
    </row>
    <row r="77" spans="1:13">
      <c r="A77" s="98" t="s">
        <v>27</v>
      </c>
      <c r="B77" s="44">
        <v>105376</v>
      </c>
      <c r="C77" s="44">
        <v>82217</v>
      </c>
      <c r="D77" s="12"/>
      <c r="E77" s="44">
        <v>240636</v>
      </c>
      <c r="F77" s="44">
        <v>276236</v>
      </c>
      <c r="G77" s="12"/>
      <c r="H77" s="44">
        <v>243856</v>
      </c>
      <c r="I77" s="44">
        <v>273016</v>
      </c>
      <c r="J77" s="12"/>
      <c r="K77" s="44">
        <v>153348</v>
      </c>
      <c r="L77" s="44">
        <v>206729</v>
      </c>
      <c r="M77" s="44">
        <v>156795</v>
      </c>
    </row>
    <row r="78" spans="1:13">
      <c r="A78" s="118"/>
      <c r="B78" s="43">
        <v>0.26782904853283179</v>
      </c>
      <c r="C78" s="43">
        <v>0.16838601988674184</v>
      </c>
      <c r="D78" s="14"/>
      <c r="E78" s="43">
        <v>0.25755422171608627</v>
      </c>
      <c r="F78" s="43">
        <v>0.19590358147626238</v>
      </c>
      <c r="G78" s="14"/>
      <c r="H78" s="43">
        <v>0.24911735861392612</v>
      </c>
      <c r="I78" s="43">
        <v>0.19993950902714258</v>
      </c>
      <c r="J78" s="14"/>
      <c r="K78" s="43">
        <v>0.23028198836486394</v>
      </c>
      <c r="L78" s="43">
        <v>0.21005309015164986</v>
      </c>
      <c r="M78" s="43">
        <v>0.22583697737525277</v>
      </c>
    </row>
    <row r="79" spans="1:13">
      <c r="A79" s="98" t="s">
        <v>28</v>
      </c>
      <c r="B79" s="44">
        <v>203170</v>
      </c>
      <c r="C79" s="44">
        <v>299034</v>
      </c>
      <c r="D79" s="12"/>
      <c r="E79" s="44">
        <v>489368</v>
      </c>
      <c r="F79" s="44">
        <v>799945</v>
      </c>
      <c r="G79" s="12"/>
      <c r="H79" s="44">
        <v>529081</v>
      </c>
      <c r="I79" s="44">
        <v>760232</v>
      </c>
      <c r="J79" s="12"/>
      <c r="K79" s="44">
        <v>375377</v>
      </c>
      <c r="L79" s="44">
        <v>558003</v>
      </c>
      <c r="M79" s="44">
        <v>355933</v>
      </c>
    </row>
    <row r="80" spans="1:13">
      <c r="A80" s="118"/>
      <c r="B80" s="43">
        <v>0.51638729682674833</v>
      </c>
      <c r="C80" s="43">
        <v>0.61244201407022825</v>
      </c>
      <c r="D80" s="14"/>
      <c r="E80" s="43">
        <v>0.52377364306569973</v>
      </c>
      <c r="F80" s="43">
        <v>0.56731233613297583</v>
      </c>
      <c r="G80" s="14"/>
      <c r="H80" s="43">
        <v>0.54049628146453088</v>
      </c>
      <c r="I80" s="43">
        <v>0.55674543919302411</v>
      </c>
      <c r="J80" s="14"/>
      <c r="K80" s="43">
        <v>0.56370191946707837</v>
      </c>
      <c r="L80" s="43">
        <v>0.56697538547514414</v>
      </c>
      <c r="M80" s="43">
        <v>0.5126619654204907</v>
      </c>
    </row>
    <row r="81" spans="1:13">
      <c r="A81" s="98" t="s">
        <v>29</v>
      </c>
      <c r="B81" s="44">
        <v>27785</v>
      </c>
      <c r="C81" s="44">
        <v>81140</v>
      </c>
      <c r="D81" s="12"/>
      <c r="E81" s="44">
        <v>75398</v>
      </c>
      <c r="F81" s="44">
        <v>197859</v>
      </c>
      <c r="G81" s="12"/>
      <c r="H81" s="44">
        <v>86087</v>
      </c>
      <c r="I81" s="44">
        <v>187170</v>
      </c>
      <c r="J81" s="12"/>
      <c r="K81" s="44">
        <v>71770</v>
      </c>
      <c r="L81" s="44">
        <v>134483</v>
      </c>
      <c r="M81" s="44">
        <v>67004</v>
      </c>
    </row>
    <row r="82" spans="1:13">
      <c r="A82" s="118"/>
      <c r="B82" s="43">
        <v>7.0619781672152396E-2</v>
      </c>
      <c r="C82" s="43">
        <v>0.16618025047873594</v>
      </c>
      <c r="D82" s="14"/>
      <c r="E82" s="43">
        <v>8.0698952812336772E-2</v>
      </c>
      <c r="F82" s="43">
        <v>0.14031946135663634</v>
      </c>
      <c r="G82" s="14"/>
      <c r="H82" s="43">
        <v>8.7944385420071922E-2</v>
      </c>
      <c r="I82" s="43">
        <v>0.13707137275694567</v>
      </c>
      <c r="J82" s="14"/>
      <c r="K82" s="43">
        <v>0.10777667987157501</v>
      </c>
      <c r="L82" s="43">
        <v>0.13664541367134911</v>
      </c>
      <c r="M82" s="43">
        <v>9.6508057221540461E-2</v>
      </c>
    </row>
    <row r="83" spans="1:13">
      <c r="A83" s="98" t="s">
        <v>30</v>
      </c>
      <c r="B83" s="44">
        <v>207679</v>
      </c>
      <c r="C83" s="44">
        <v>263495</v>
      </c>
      <c r="D83" s="12"/>
      <c r="E83" s="44">
        <v>498623</v>
      </c>
      <c r="F83" s="44">
        <v>749474</v>
      </c>
      <c r="G83" s="12"/>
      <c r="H83" s="44">
        <v>532386</v>
      </c>
      <c r="I83" s="44">
        <v>715711</v>
      </c>
      <c r="J83" s="12"/>
      <c r="K83" s="44">
        <v>369110</v>
      </c>
      <c r="L83" s="44">
        <v>532800</v>
      </c>
      <c r="M83" s="44">
        <v>346187</v>
      </c>
    </row>
    <row r="84" spans="1:13">
      <c r="A84" s="118"/>
      <c r="B84" s="43">
        <v>0.52784760258740104</v>
      </c>
      <c r="C84" s="43">
        <v>0.53965571974235305</v>
      </c>
      <c r="D84" s="14"/>
      <c r="E84" s="43">
        <v>0.53367932767640791</v>
      </c>
      <c r="F84" s="43">
        <v>0.53151884918453884</v>
      </c>
      <c r="G84" s="14"/>
      <c r="H84" s="43">
        <v>0.54387258908139913</v>
      </c>
      <c r="I84" s="43">
        <v>0.52414109775736673</v>
      </c>
      <c r="J84" s="14"/>
      <c r="K84" s="43">
        <v>0.55429079430677231</v>
      </c>
      <c r="L84" s="43">
        <v>0.54136713490994992</v>
      </c>
      <c r="M84" s="43">
        <v>0.49862448220036759</v>
      </c>
    </row>
    <row r="85" spans="1:13">
      <c r="A85" s="98" t="s">
        <v>31</v>
      </c>
      <c r="B85" s="44">
        <v>23276</v>
      </c>
      <c r="C85" s="44">
        <v>116679</v>
      </c>
      <c r="D85" s="12"/>
      <c r="E85" s="44">
        <v>66143</v>
      </c>
      <c r="F85" s="44">
        <v>248330</v>
      </c>
      <c r="G85" s="12"/>
      <c r="H85" s="44">
        <v>82782</v>
      </c>
      <c r="I85" s="44">
        <v>231691</v>
      </c>
      <c r="J85" s="12"/>
      <c r="K85" s="44">
        <v>78037</v>
      </c>
      <c r="L85" s="44">
        <v>159686</v>
      </c>
      <c r="M85" s="44">
        <v>76750</v>
      </c>
    </row>
    <row r="86" spans="1:13">
      <c r="A86" s="118"/>
      <c r="B86" s="43">
        <v>5.9159475911499698E-2</v>
      </c>
      <c r="C86" s="43">
        <v>0.23896654480661117</v>
      </c>
      <c r="D86" s="15"/>
      <c r="E86" s="43">
        <v>7.0793268201628581E-2</v>
      </c>
      <c r="F86" s="43">
        <v>0.17611294830507332</v>
      </c>
      <c r="G86" s="15"/>
      <c r="H86" s="43">
        <v>8.4568077803203662E-2</v>
      </c>
      <c r="I86" s="43">
        <v>0.16967571419260297</v>
      </c>
      <c r="J86" s="15"/>
      <c r="K86" s="43">
        <v>0.11718780503188099</v>
      </c>
      <c r="L86" s="43">
        <v>0.1622536642365433</v>
      </c>
      <c r="M86" s="43">
        <v>0.11054554044166365</v>
      </c>
    </row>
    <row r="88" spans="1:13">
      <c r="A88" s="16" t="s">
        <v>36</v>
      </c>
      <c r="B88" s="4"/>
      <c r="C88" s="4"/>
      <c r="D88" s="4"/>
      <c r="E88" s="4"/>
      <c r="F88" s="4"/>
      <c r="G88" s="4"/>
      <c r="H88" s="4"/>
      <c r="I88" s="4"/>
      <c r="J88" s="4"/>
      <c r="K88" s="4"/>
      <c r="L88" s="4"/>
      <c r="M88" s="4"/>
    </row>
    <row r="89" spans="1:13">
      <c r="A89" s="5"/>
      <c r="B89" s="6" t="s">
        <v>16</v>
      </c>
      <c r="C89" s="7" t="s">
        <v>17</v>
      </c>
      <c r="D89" s="8"/>
      <c r="E89" s="9" t="s">
        <v>18</v>
      </c>
      <c r="F89" s="7" t="s">
        <v>19</v>
      </c>
      <c r="G89" s="8"/>
      <c r="H89" s="9" t="s">
        <v>20</v>
      </c>
      <c r="I89" s="7" t="s">
        <v>21</v>
      </c>
      <c r="J89" s="8"/>
      <c r="K89" s="9" t="s">
        <v>22</v>
      </c>
      <c r="L89" s="6" t="s">
        <v>23</v>
      </c>
      <c r="M89" s="6" t="s">
        <v>24</v>
      </c>
    </row>
    <row r="90" spans="1:13">
      <c r="A90" s="98" t="s">
        <v>25</v>
      </c>
      <c r="B90" s="44">
        <v>173856</v>
      </c>
      <c r="C90" s="44">
        <v>463146</v>
      </c>
      <c r="D90" s="12"/>
      <c r="E90" s="44">
        <v>398641</v>
      </c>
      <c r="F90" s="44">
        <v>1127424</v>
      </c>
      <c r="G90" s="12"/>
      <c r="H90" s="44">
        <v>571018</v>
      </c>
      <c r="I90" s="44">
        <v>955047</v>
      </c>
      <c r="J90" s="12"/>
      <c r="K90" s="44">
        <v>409999</v>
      </c>
      <c r="L90" s="44">
        <v>696625</v>
      </c>
      <c r="M90" s="44">
        <v>419441</v>
      </c>
    </row>
    <row r="91" spans="1:13">
      <c r="A91" s="118"/>
      <c r="B91" s="43">
        <v>0.56616787429781001</v>
      </c>
      <c r="C91" s="43">
        <v>0.75936777557344526</v>
      </c>
      <c r="D91" s="14"/>
      <c r="E91" s="43">
        <v>0.58636266021822336</v>
      </c>
      <c r="F91" s="43">
        <v>0.68919387306607716</v>
      </c>
      <c r="G91" s="14"/>
      <c r="H91" s="43">
        <v>0.61605467717486884</v>
      </c>
      <c r="I91" s="43">
        <v>0.68766893862262735</v>
      </c>
      <c r="J91" s="14"/>
      <c r="K91" s="43">
        <v>0.65182360020540442</v>
      </c>
      <c r="L91" s="43">
        <v>0.70158450083641255</v>
      </c>
      <c r="M91" s="43">
        <v>0.60457436734176162</v>
      </c>
    </row>
    <row r="92" spans="1:13">
      <c r="A92" s="98" t="s">
        <v>26</v>
      </c>
      <c r="B92" s="44">
        <v>90476</v>
      </c>
      <c r="C92" s="44">
        <v>344614</v>
      </c>
      <c r="D92" s="12"/>
      <c r="E92" s="44">
        <v>217249</v>
      </c>
      <c r="F92" s="44">
        <v>799487</v>
      </c>
      <c r="G92" s="12"/>
      <c r="H92" s="44">
        <v>339431</v>
      </c>
      <c r="I92" s="44">
        <v>677305</v>
      </c>
      <c r="J92" s="12"/>
      <c r="K92" s="44">
        <v>263804</v>
      </c>
      <c r="L92" s="44">
        <v>489448</v>
      </c>
      <c r="M92" s="44">
        <v>263484</v>
      </c>
    </row>
    <row r="93" spans="1:13">
      <c r="A93" s="118"/>
      <c r="B93" s="43">
        <v>0.29463811772368315</v>
      </c>
      <c r="C93" s="43">
        <v>0.56502434785460154</v>
      </c>
      <c r="D93" s="14"/>
      <c r="E93" s="43">
        <v>0.31955243331656502</v>
      </c>
      <c r="F93" s="43">
        <v>0.48872610658987115</v>
      </c>
      <c r="G93" s="14"/>
      <c r="H93" s="43">
        <v>0.36620221276412107</v>
      </c>
      <c r="I93" s="43">
        <v>0.48768449141644188</v>
      </c>
      <c r="J93" s="14"/>
      <c r="K93" s="43">
        <v>0.41940022543612671</v>
      </c>
      <c r="L93" s="43">
        <v>0.49293254012615179</v>
      </c>
      <c r="M93" s="43">
        <v>0.3797808812316314</v>
      </c>
    </row>
    <row r="94" spans="1:13">
      <c r="A94" s="98" t="s">
        <v>27</v>
      </c>
      <c r="B94" s="44">
        <v>83380</v>
      </c>
      <c r="C94" s="44">
        <v>118532</v>
      </c>
      <c r="D94" s="12"/>
      <c r="E94" s="44">
        <v>181392</v>
      </c>
      <c r="F94" s="44">
        <v>327937</v>
      </c>
      <c r="G94" s="12"/>
      <c r="H94" s="44">
        <v>231587</v>
      </c>
      <c r="I94" s="44">
        <v>277742</v>
      </c>
      <c r="J94" s="12"/>
      <c r="K94" s="44">
        <v>146195</v>
      </c>
      <c r="L94" s="44">
        <v>207177</v>
      </c>
      <c r="M94" s="44">
        <v>155957</v>
      </c>
    </row>
    <row r="95" spans="1:13">
      <c r="A95" s="118"/>
      <c r="B95" s="43">
        <v>0.27152975657412687</v>
      </c>
      <c r="C95" s="43">
        <v>0.19434342771884378</v>
      </c>
      <c r="D95" s="14"/>
      <c r="E95" s="43">
        <v>0.26681022690165829</v>
      </c>
      <c r="F95" s="43">
        <v>0.20046776647620607</v>
      </c>
      <c r="G95" s="14"/>
      <c r="H95" s="43">
        <v>0.24985246441074771</v>
      </c>
      <c r="I95" s="43">
        <v>0.19998444720618541</v>
      </c>
      <c r="J95" s="14"/>
      <c r="K95" s="43">
        <v>0.23242337476927774</v>
      </c>
      <c r="L95" s="43">
        <v>0.20865196071026085</v>
      </c>
      <c r="M95" s="43">
        <v>0.22479348611013017</v>
      </c>
    </row>
    <row r="96" spans="1:13">
      <c r="A96" s="98" t="s">
        <v>28</v>
      </c>
      <c r="B96" s="44">
        <v>154600</v>
      </c>
      <c r="C96" s="44">
        <v>364708</v>
      </c>
      <c r="D96" s="12"/>
      <c r="E96" s="44">
        <v>349291</v>
      </c>
      <c r="F96" s="44">
        <v>907208</v>
      </c>
      <c r="G96" s="12"/>
      <c r="H96" s="44">
        <v>492896</v>
      </c>
      <c r="I96" s="44">
        <v>763603</v>
      </c>
      <c r="J96" s="12"/>
      <c r="K96" s="44">
        <v>346480</v>
      </c>
      <c r="L96" s="44">
        <v>558631</v>
      </c>
      <c r="M96" s="44">
        <v>351388</v>
      </c>
    </row>
    <row r="97" spans="1:13">
      <c r="A97" s="118"/>
      <c r="B97" s="43">
        <v>0.50346006675893507</v>
      </c>
      <c r="C97" s="43">
        <v>0.59797019232345761</v>
      </c>
      <c r="D97" s="14"/>
      <c r="E97" s="43">
        <v>0.51377354549653309</v>
      </c>
      <c r="F97" s="43">
        <v>0.55457591393879302</v>
      </c>
      <c r="G97" s="14"/>
      <c r="H97" s="43">
        <v>0.5317711283370824</v>
      </c>
      <c r="I97" s="43">
        <v>0.54982222292625815</v>
      </c>
      <c r="J97" s="14"/>
      <c r="K97" s="43">
        <v>0.5508399800954844</v>
      </c>
      <c r="L97" s="43">
        <v>0.56260807649272704</v>
      </c>
      <c r="M97" s="43">
        <v>0.50648405327921431</v>
      </c>
    </row>
    <row r="98" spans="1:13">
      <c r="A98" s="98" t="s">
        <v>29</v>
      </c>
      <c r="B98" s="44">
        <v>19256</v>
      </c>
      <c r="C98" s="44">
        <v>98438</v>
      </c>
      <c r="D98" s="12"/>
      <c r="E98" s="44">
        <v>49350</v>
      </c>
      <c r="F98" s="44">
        <v>220216</v>
      </c>
      <c r="G98" s="12"/>
      <c r="H98" s="44">
        <v>78122</v>
      </c>
      <c r="I98" s="44">
        <v>191444</v>
      </c>
      <c r="J98" s="12"/>
      <c r="K98" s="44">
        <v>63519</v>
      </c>
      <c r="L98" s="44">
        <v>137994</v>
      </c>
      <c r="M98" s="44">
        <v>68053</v>
      </c>
    </row>
    <row r="99" spans="1:13">
      <c r="A99" s="118"/>
      <c r="B99" s="43">
        <v>6.2707807538874866E-2</v>
      </c>
      <c r="C99" s="43">
        <v>0.16139758324998771</v>
      </c>
      <c r="D99" s="14"/>
      <c r="E99" s="43">
        <v>7.2589114721690245E-2</v>
      </c>
      <c r="F99" s="43">
        <v>0.13461795912728419</v>
      </c>
      <c r="G99" s="14"/>
      <c r="H99" s="43">
        <v>8.4283548837786368E-2</v>
      </c>
      <c r="I99" s="43">
        <v>0.13784671569636914</v>
      </c>
      <c r="J99" s="14"/>
      <c r="K99" s="43">
        <v>0.10098362010991999</v>
      </c>
      <c r="L99" s="43">
        <v>0.13897642434368551</v>
      </c>
      <c r="M99" s="43">
        <v>9.8090314062547299E-2</v>
      </c>
    </row>
    <row r="100" spans="1:13">
      <c r="A100" s="98" t="s">
        <v>30</v>
      </c>
      <c r="B100" s="44">
        <v>157312</v>
      </c>
      <c r="C100" s="44">
        <v>320961</v>
      </c>
      <c r="D100" s="12"/>
      <c r="E100" s="44">
        <v>353003</v>
      </c>
      <c r="F100" s="44">
        <v>851920</v>
      </c>
      <c r="G100" s="12"/>
      <c r="H100" s="44">
        <v>491097</v>
      </c>
      <c r="I100" s="44">
        <v>713826</v>
      </c>
      <c r="J100" s="12"/>
      <c r="K100" s="44">
        <v>334097</v>
      </c>
      <c r="L100" s="44">
        <v>530382</v>
      </c>
      <c r="M100" s="44">
        <v>340444</v>
      </c>
    </row>
    <row r="101" spans="1:13">
      <c r="A101" s="118"/>
      <c r="B101" s="43">
        <v>0.51229178539444764</v>
      </c>
      <c r="C101" s="43">
        <v>0.52624321621222803</v>
      </c>
      <c r="D101" s="14"/>
      <c r="E101" s="43">
        <v>0.51923354131916555</v>
      </c>
      <c r="F101" s="43">
        <v>0.52077838004375687</v>
      </c>
      <c r="G101" s="14"/>
      <c r="H101" s="43">
        <v>0.52983023967116016</v>
      </c>
      <c r="I101" s="43">
        <v>0.5139809535878711</v>
      </c>
      <c r="J101" s="14"/>
      <c r="K101" s="43">
        <v>0.53115326953925501</v>
      </c>
      <c r="L101" s="43">
        <v>0.53415796263788717</v>
      </c>
      <c r="M101" s="43">
        <v>0.49070957754558731</v>
      </c>
    </row>
    <row r="102" spans="1:13">
      <c r="A102" s="98" t="s">
        <v>31</v>
      </c>
      <c r="B102" s="44">
        <v>16544</v>
      </c>
      <c r="C102" s="44">
        <v>142185</v>
      </c>
      <c r="D102" s="12"/>
      <c r="E102" s="44">
        <v>45638</v>
      </c>
      <c r="F102" s="44">
        <v>275504</v>
      </c>
      <c r="G102" s="12"/>
      <c r="H102" s="44">
        <v>79921</v>
      </c>
      <c r="I102" s="44">
        <v>241221</v>
      </c>
      <c r="J102" s="12"/>
      <c r="K102" s="44">
        <v>75902</v>
      </c>
      <c r="L102" s="44">
        <v>166243</v>
      </c>
      <c r="M102" s="44">
        <v>78997</v>
      </c>
    </row>
    <row r="103" spans="1:13">
      <c r="A103" s="118"/>
      <c r="B103" s="43">
        <v>5.3876088903362374E-2</v>
      </c>
      <c r="C103" s="43">
        <v>0.23312455936121723</v>
      </c>
      <c r="D103" s="15"/>
      <c r="E103" s="43">
        <v>6.7129118899057733E-2</v>
      </c>
      <c r="F103" s="43">
        <v>0.16841549302232039</v>
      </c>
      <c r="G103" s="15"/>
      <c r="H103" s="43">
        <v>8.6224437503708617E-2</v>
      </c>
      <c r="I103" s="43">
        <v>0.17368798503475619</v>
      </c>
      <c r="J103" s="15"/>
      <c r="K103" s="43">
        <v>0.12067033066614945</v>
      </c>
      <c r="L103" s="43">
        <v>0.16742653819852538</v>
      </c>
      <c r="M103" s="43">
        <v>0.11386478979617429</v>
      </c>
    </row>
    <row r="105" spans="1:13">
      <c r="A105" s="16" t="s">
        <v>37</v>
      </c>
      <c r="B105" s="4"/>
      <c r="C105" s="4"/>
      <c r="D105" s="4"/>
      <c r="E105" s="4"/>
      <c r="F105" s="4"/>
      <c r="G105" s="4"/>
      <c r="H105" s="4"/>
      <c r="I105" s="4"/>
      <c r="J105" s="4"/>
      <c r="K105" s="4"/>
      <c r="L105" s="4"/>
      <c r="M105" s="4"/>
    </row>
    <row r="106" spans="1:13">
      <c r="A106" s="5"/>
      <c r="B106" s="6" t="s">
        <v>16</v>
      </c>
      <c r="C106" s="7" t="s">
        <v>17</v>
      </c>
      <c r="D106" s="8"/>
      <c r="E106" s="9" t="s">
        <v>18</v>
      </c>
      <c r="F106" s="7" t="s">
        <v>19</v>
      </c>
      <c r="G106" s="8"/>
      <c r="H106" s="9" t="s">
        <v>20</v>
      </c>
      <c r="I106" s="7" t="s">
        <v>21</v>
      </c>
      <c r="J106" s="8"/>
      <c r="K106" s="9" t="s">
        <v>22</v>
      </c>
      <c r="L106" s="6" t="s">
        <v>23</v>
      </c>
      <c r="M106" s="6" t="s">
        <v>24</v>
      </c>
    </row>
    <row r="107" spans="1:13">
      <c r="A107" s="98" t="s">
        <v>25</v>
      </c>
      <c r="B107" s="44">
        <v>164397</v>
      </c>
      <c r="C107" s="44">
        <v>330414</v>
      </c>
      <c r="D107" s="12"/>
      <c r="E107" s="44">
        <v>416701</v>
      </c>
      <c r="F107" s="44">
        <v>832228</v>
      </c>
      <c r="G107" s="12"/>
      <c r="H107" s="44">
        <v>464982</v>
      </c>
      <c r="I107" s="44">
        <v>783947</v>
      </c>
      <c r="J107" s="12"/>
      <c r="K107" s="44">
        <v>352645</v>
      </c>
      <c r="L107" s="44">
        <v>570809</v>
      </c>
      <c r="M107" s="44">
        <v>325475</v>
      </c>
    </row>
    <row r="108" spans="1:13">
      <c r="A108" s="118"/>
      <c r="B108" s="43">
        <v>0.76006269244639246</v>
      </c>
      <c r="C108" s="43">
        <v>0.90576496066229883</v>
      </c>
      <c r="D108" s="14"/>
      <c r="E108" s="43">
        <v>0.78784561514959006</v>
      </c>
      <c r="F108" s="43">
        <v>0.87631635198470237</v>
      </c>
      <c r="G108" s="14"/>
      <c r="H108" s="43">
        <v>0.8055542081008974</v>
      </c>
      <c r="I108" s="43">
        <v>0.86971768874649014</v>
      </c>
      <c r="J108" s="14"/>
      <c r="K108" s="43">
        <v>0.83421649011416377</v>
      </c>
      <c r="L108" s="43">
        <v>0.86812812444393073</v>
      </c>
      <c r="M108" s="43">
        <v>0.81704145517348714</v>
      </c>
    </row>
    <row r="109" spans="1:13">
      <c r="A109" s="98" t="s">
        <v>26</v>
      </c>
      <c r="B109" s="44">
        <v>100828</v>
      </c>
      <c r="C109" s="44">
        <v>273759</v>
      </c>
      <c r="D109" s="12"/>
      <c r="E109" s="44">
        <v>268313</v>
      </c>
      <c r="F109" s="44">
        <v>649350</v>
      </c>
      <c r="G109" s="12"/>
      <c r="H109" s="44">
        <v>312901</v>
      </c>
      <c r="I109" s="44">
        <v>604762</v>
      </c>
      <c r="J109" s="12"/>
      <c r="K109" s="44">
        <v>255482</v>
      </c>
      <c r="L109" s="44">
        <v>434866</v>
      </c>
      <c r="M109" s="44">
        <v>227315</v>
      </c>
    </row>
    <row r="110" spans="1:13">
      <c r="A110" s="118"/>
      <c r="B110" s="43">
        <v>0.8345721522340126</v>
      </c>
      <c r="C110" s="43">
        <v>0.94107920618496455</v>
      </c>
      <c r="D110" s="14"/>
      <c r="E110" s="43">
        <v>0.8600988600956545</v>
      </c>
      <c r="F110" s="43">
        <v>0.92527547375215702</v>
      </c>
      <c r="G110" s="14"/>
      <c r="H110" s="43">
        <v>0.87384695299561821</v>
      </c>
      <c r="I110" s="43">
        <v>0.92235165646342543</v>
      </c>
      <c r="J110" s="14"/>
      <c r="K110" s="43">
        <v>0.89724345984596532</v>
      </c>
      <c r="L110" s="43">
        <v>0.92076444881089503</v>
      </c>
      <c r="M110" s="43">
        <v>0.88546576399005916</v>
      </c>
    </row>
    <row r="111" spans="1:13">
      <c r="A111" s="98" t="s">
        <v>27</v>
      </c>
      <c r="B111" s="44">
        <v>63569</v>
      </c>
      <c r="C111" s="44">
        <v>56655</v>
      </c>
      <c r="D111" s="12"/>
      <c r="E111" s="44">
        <v>148388</v>
      </c>
      <c r="F111" s="44">
        <v>182878</v>
      </c>
      <c r="G111" s="12"/>
      <c r="H111" s="44">
        <v>152081</v>
      </c>
      <c r="I111" s="44">
        <v>179185</v>
      </c>
      <c r="J111" s="12"/>
      <c r="K111" s="44">
        <v>97163</v>
      </c>
      <c r="L111" s="44">
        <v>135943</v>
      </c>
      <c r="M111" s="44">
        <v>98160</v>
      </c>
    </row>
    <row r="112" spans="1:13">
      <c r="A112" s="118"/>
      <c r="B112" s="43">
        <v>0.66578341013824882</v>
      </c>
      <c r="C112" s="43">
        <v>0.76673749171076311</v>
      </c>
      <c r="D112" s="14"/>
      <c r="E112" s="43">
        <v>0.68395435019082207</v>
      </c>
      <c r="F112" s="43">
        <v>0.73771470524167193</v>
      </c>
      <c r="G112" s="14"/>
      <c r="H112" s="43">
        <v>0.69396797583357295</v>
      </c>
      <c r="I112" s="43">
        <v>0.72926290256280857</v>
      </c>
      <c r="J112" s="14"/>
      <c r="K112" s="43">
        <v>0.70415624886763051</v>
      </c>
      <c r="L112" s="43">
        <v>0.73391855486991775</v>
      </c>
      <c r="M112" s="43">
        <v>0.69302456933069756</v>
      </c>
    </row>
    <row r="113" spans="1:13">
      <c r="A113" s="98" t="s">
        <v>28</v>
      </c>
      <c r="B113" s="44">
        <v>143552</v>
      </c>
      <c r="C113" s="44">
        <v>256458</v>
      </c>
      <c r="D113" s="12"/>
      <c r="E113" s="44">
        <v>356693</v>
      </c>
      <c r="F113" s="44">
        <v>655134</v>
      </c>
      <c r="G113" s="12"/>
      <c r="H113" s="44">
        <v>395080</v>
      </c>
      <c r="I113" s="44">
        <v>616747</v>
      </c>
      <c r="J113" s="12"/>
      <c r="K113" s="44">
        <v>291558</v>
      </c>
      <c r="L113" s="44">
        <v>451288</v>
      </c>
      <c r="M113" s="44">
        <v>268981</v>
      </c>
    </row>
    <row r="114" spans="1:13">
      <c r="A114" s="118"/>
      <c r="B114" s="43">
        <v>0.75364875364875361</v>
      </c>
      <c r="C114" s="43">
        <v>0.89714231742000483</v>
      </c>
      <c r="D114" s="14"/>
      <c r="E114" s="43">
        <v>0.77864756719705386</v>
      </c>
      <c r="F114" s="43">
        <v>0.86383360825313193</v>
      </c>
      <c r="G114" s="14"/>
      <c r="H114" s="43">
        <v>0.79646642112244759</v>
      </c>
      <c r="I114" s="43">
        <v>0.8560520782005816</v>
      </c>
      <c r="J114" s="14"/>
      <c r="K114" s="43">
        <v>0.82334502448364089</v>
      </c>
      <c r="L114" s="43">
        <v>0.85503761848734083</v>
      </c>
      <c r="M114" s="43">
        <v>0.80392906991688162</v>
      </c>
    </row>
    <row r="115" spans="1:13">
      <c r="A115" s="98" t="s">
        <v>29</v>
      </c>
      <c r="B115" s="44">
        <v>20845</v>
      </c>
      <c r="C115" s="44">
        <v>73956</v>
      </c>
      <c r="D115" s="12"/>
      <c r="E115" s="44">
        <v>60008</v>
      </c>
      <c r="F115" s="44">
        <v>177094</v>
      </c>
      <c r="G115" s="12"/>
      <c r="H115" s="44">
        <v>69902</v>
      </c>
      <c r="I115" s="44">
        <v>167200</v>
      </c>
      <c r="J115" s="12"/>
      <c r="K115" s="44">
        <v>61087</v>
      </c>
      <c r="L115" s="44">
        <v>119521</v>
      </c>
      <c r="M115" s="44">
        <v>56494</v>
      </c>
    </row>
    <row r="116" spans="1:13">
      <c r="A116" s="118"/>
      <c r="B116" s="43">
        <v>0.80738244635525602</v>
      </c>
      <c r="C116" s="43">
        <v>0.93699400727235871</v>
      </c>
      <c r="D116" s="14"/>
      <c r="E116" s="43">
        <v>0.84734322710007204</v>
      </c>
      <c r="F116" s="43">
        <v>0.92580742971257701</v>
      </c>
      <c r="G116" s="14"/>
      <c r="H116" s="43">
        <v>0.86108476330085371</v>
      </c>
      <c r="I116" s="43">
        <v>0.9241347291157711</v>
      </c>
      <c r="J116" s="14"/>
      <c r="K116" s="43">
        <v>0.89032530752638017</v>
      </c>
      <c r="L116" s="43">
        <v>0.9213910174378267</v>
      </c>
      <c r="M116" s="43">
        <v>0.88583300666405329</v>
      </c>
    </row>
    <row r="117" spans="1:13">
      <c r="A117" s="98" t="s">
        <v>30</v>
      </c>
      <c r="B117" s="44">
        <v>147641</v>
      </c>
      <c r="C117" s="44">
        <v>222792</v>
      </c>
      <c r="D117" s="12"/>
      <c r="E117" s="44">
        <v>366313</v>
      </c>
      <c r="F117" s="44">
        <v>609948</v>
      </c>
      <c r="G117" s="12"/>
      <c r="H117" s="44">
        <v>399084</v>
      </c>
      <c r="I117" s="44">
        <v>577177</v>
      </c>
      <c r="J117" s="12"/>
      <c r="K117" s="44">
        <v>286107</v>
      </c>
      <c r="L117" s="44">
        <v>427988</v>
      </c>
      <c r="M117" s="44">
        <v>262166</v>
      </c>
    </row>
    <row r="118" spans="1:13">
      <c r="A118" s="118"/>
      <c r="B118" s="43">
        <v>0.75501541828818652</v>
      </c>
      <c r="C118" s="43">
        <v>0.88545152495489121</v>
      </c>
      <c r="D118" s="14"/>
      <c r="E118" s="43">
        <v>0.78096624887272381</v>
      </c>
      <c r="F118" s="43">
        <v>0.85732718816281606</v>
      </c>
      <c r="G118" s="14"/>
      <c r="H118" s="43">
        <v>0.79620614805120182</v>
      </c>
      <c r="I118" s="43">
        <v>0.84969938404644973</v>
      </c>
      <c r="J118" s="14"/>
      <c r="K118" s="43">
        <v>0.81904453821446366</v>
      </c>
      <c r="L118" s="43">
        <v>0.84814255535870697</v>
      </c>
      <c r="M118" s="43">
        <v>0.80279145537835916</v>
      </c>
    </row>
    <row r="119" spans="1:13">
      <c r="A119" s="98" t="s">
        <v>31</v>
      </c>
      <c r="B119" s="44">
        <v>16756</v>
      </c>
      <c r="C119" s="44">
        <v>107622</v>
      </c>
      <c r="D119" s="12"/>
      <c r="E119" s="44">
        <v>50388</v>
      </c>
      <c r="F119" s="44">
        <v>222280</v>
      </c>
      <c r="G119" s="12"/>
      <c r="H119" s="44">
        <v>65898</v>
      </c>
      <c r="I119" s="44">
        <v>206770</v>
      </c>
      <c r="J119" s="12"/>
      <c r="K119" s="44">
        <v>66538</v>
      </c>
      <c r="L119" s="44">
        <v>142821</v>
      </c>
      <c r="M119" s="44">
        <v>63309</v>
      </c>
    </row>
    <row r="120" spans="1:13">
      <c r="A120" s="118"/>
      <c r="B120" s="43">
        <v>0.80763483877187059</v>
      </c>
      <c r="C120" s="43">
        <v>0.95092599137626355</v>
      </c>
      <c r="D120" s="15"/>
      <c r="E120" s="43">
        <v>0.84175005429244421</v>
      </c>
      <c r="F120" s="43">
        <v>0.9330243959770983</v>
      </c>
      <c r="G120" s="15"/>
      <c r="H120" s="43">
        <v>0.86721587619097751</v>
      </c>
      <c r="I120" s="43">
        <v>0.93093931358026916</v>
      </c>
      <c r="J120" s="15"/>
      <c r="K120" s="43">
        <v>0.90641346992153449</v>
      </c>
      <c r="L120" s="43">
        <v>0.93408720789540811</v>
      </c>
      <c r="M120" s="43">
        <v>0.88186376932720434</v>
      </c>
    </row>
    <row r="122" spans="1:13">
      <c r="A122" s="16" t="s">
        <v>38</v>
      </c>
      <c r="B122" s="4"/>
      <c r="C122" s="4"/>
      <c r="D122" s="4"/>
      <c r="E122" s="4"/>
      <c r="F122" s="4"/>
      <c r="G122" s="4"/>
      <c r="H122" s="4"/>
      <c r="I122" s="4"/>
      <c r="J122" s="4"/>
      <c r="K122" s="4"/>
      <c r="L122" s="4"/>
      <c r="M122" s="4"/>
    </row>
    <row r="123" spans="1:13">
      <c r="A123" s="5"/>
      <c r="B123" s="6" t="s">
        <v>16</v>
      </c>
      <c r="C123" s="7" t="s">
        <v>17</v>
      </c>
      <c r="D123" s="8"/>
      <c r="E123" s="9" t="s">
        <v>18</v>
      </c>
      <c r="F123" s="7" t="s">
        <v>19</v>
      </c>
      <c r="G123" s="8"/>
      <c r="H123" s="9" t="s">
        <v>20</v>
      </c>
      <c r="I123" s="7" t="s">
        <v>21</v>
      </c>
      <c r="J123" s="8"/>
      <c r="K123" s="9" t="s">
        <v>22</v>
      </c>
      <c r="L123" s="6" t="s">
        <v>23</v>
      </c>
      <c r="M123" s="6" t="s">
        <v>24</v>
      </c>
    </row>
    <row r="124" spans="1:13">
      <c r="A124" s="98" t="s">
        <v>25</v>
      </c>
      <c r="B124" s="44">
        <v>120551</v>
      </c>
      <c r="C124" s="44">
        <v>395659</v>
      </c>
      <c r="D124" s="12"/>
      <c r="E124" s="44">
        <v>287582</v>
      </c>
      <c r="F124" s="44">
        <v>920599</v>
      </c>
      <c r="G124" s="12"/>
      <c r="H124" s="44">
        <v>425920</v>
      </c>
      <c r="I124" s="44">
        <v>782261</v>
      </c>
      <c r="J124" s="12"/>
      <c r="K124" s="44">
        <v>318269</v>
      </c>
      <c r="L124" s="44">
        <v>570791</v>
      </c>
      <c r="M124" s="44">
        <v>319121</v>
      </c>
    </row>
    <row r="125" spans="1:13">
      <c r="A125" s="118"/>
      <c r="B125" s="43">
        <v>0.74312362071728866</v>
      </c>
      <c r="C125" s="43">
        <v>0.89449838919346636</v>
      </c>
      <c r="D125" s="14"/>
      <c r="E125" s="43">
        <v>0.77403743927220858</v>
      </c>
      <c r="F125" s="43">
        <v>0.86237247299579678</v>
      </c>
      <c r="G125" s="14"/>
      <c r="H125" s="43">
        <v>0.79859600701996492</v>
      </c>
      <c r="I125" s="43">
        <v>0.86369156845729023</v>
      </c>
      <c r="J125" s="14"/>
      <c r="K125" s="43">
        <v>0.82674144344464995</v>
      </c>
      <c r="L125" s="43">
        <v>0.86536718041704441</v>
      </c>
      <c r="M125" s="43">
        <v>0.80894162619267307</v>
      </c>
    </row>
    <row r="126" spans="1:13">
      <c r="A126" s="98" t="s">
        <v>26</v>
      </c>
      <c r="B126" s="44">
        <v>71222</v>
      </c>
      <c r="C126" s="44">
        <v>315114</v>
      </c>
      <c r="D126" s="12"/>
      <c r="E126" s="44">
        <v>176885</v>
      </c>
      <c r="F126" s="44">
        <v>709216</v>
      </c>
      <c r="G126" s="12"/>
      <c r="H126" s="44">
        <v>283526</v>
      </c>
      <c r="I126" s="44">
        <v>602575</v>
      </c>
      <c r="J126" s="12"/>
      <c r="K126" s="44">
        <v>226918</v>
      </c>
      <c r="L126" s="44">
        <v>435788</v>
      </c>
      <c r="M126" s="44">
        <v>223395</v>
      </c>
    </row>
    <row r="127" spans="1:13">
      <c r="A127" s="118"/>
      <c r="B127" s="43">
        <v>0.82232998499018584</v>
      </c>
      <c r="C127" s="43">
        <v>0.93841741787351141</v>
      </c>
      <c r="D127" s="14"/>
      <c r="E127" s="43">
        <v>0.85012255490940547</v>
      </c>
      <c r="F127" s="43">
        <v>0.91518472971560494</v>
      </c>
      <c r="G127" s="14"/>
      <c r="H127" s="43">
        <v>0.86839840364111942</v>
      </c>
      <c r="I127" s="43">
        <v>0.91783190154146099</v>
      </c>
      <c r="J127" s="14"/>
      <c r="K127" s="43">
        <v>0.89171038412417725</v>
      </c>
      <c r="L127" s="43">
        <v>0.91793154291732493</v>
      </c>
      <c r="M127" s="43">
        <v>0.88024256466026762</v>
      </c>
    </row>
    <row r="128" spans="1:13">
      <c r="A128" s="98" t="s">
        <v>27</v>
      </c>
      <c r="B128" s="44">
        <v>49329</v>
      </c>
      <c r="C128" s="44">
        <v>80545</v>
      </c>
      <c r="D128" s="12"/>
      <c r="E128" s="44">
        <v>110697</v>
      </c>
      <c r="F128" s="44">
        <v>211383</v>
      </c>
      <c r="G128" s="12"/>
      <c r="H128" s="44">
        <v>142394</v>
      </c>
      <c r="I128" s="44">
        <v>179686</v>
      </c>
      <c r="J128" s="12"/>
      <c r="K128" s="44">
        <v>91351</v>
      </c>
      <c r="L128" s="44">
        <v>135003</v>
      </c>
      <c r="M128" s="44">
        <v>95726</v>
      </c>
    </row>
    <row r="129" spans="1:13">
      <c r="A129" s="118"/>
      <c r="B129" s="43">
        <v>0.65239644500872873</v>
      </c>
      <c r="C129" s="43">
        <v>0.75606390568092219</v>
      </c>
      <c r="D129" s="14"/>
      <c r="E129" s="43">
        <v>0.67719083595876794</v>
      </c>
      <c r="F129" s="43">
        <v>0.72248919938750955</v>
      </c>
      <c r="G129" s="14"/>
      <c r="H129" s="43">
        <v>0.68841585163626517</v>
      </c>
      <c r="I129" s="43">
        <v>0.7210571513415035</v>
      </c>
      <c r="J129" s="14"/>
      <c r="K129" s="43">
        <v>0.70004521315319601</v>
      </c>
      <c r="L129" s="43">
        <v>0.73036181861461558</v>
      </c>
      <c r="M129" s="43">
        <v>0.68033602456220155</v>
      </c>
    </row>
    <row r="130" spans="1:13">
      <c r="A130" s="98" t="s">
        <v>28</v>
      </c>
      <c r="B130" s="44">
        <v>106581</v>
      </c>
      <c r="C130" s="44">
        <v>306781</v>
      </c>
      <c r="D130" s="12"/>
      <c r="E130" s="44">
        <v>249636</v>
      </c>
      <c r="F130" s="44">
        <v>726550</v>
      </c>
      <c r="G130" s="12"/>
      <c r="H130" s="44">
        <v>363678</v>
      </c>
      <c r="I130" s="44">
        <v>612508</v>
      </c>
      <c r="J130" s="12"/>
      <c r="K130" s="44">
        <v>265362</v>
      </c>
      <c r="L130" s="44">
        <v>448595</v>
      </c>
      <c r="M130" s="44">
        <v>262229</v>
      </c>
    </row>
    <row r="131" spans="1:13">
      <c r="A131" s="118"/>
      <c r="B131" s="43">
        <v>0.7376358225482732</v>
      </c>
      <c r="C131" s="43">
        <v>0.88406198038690198</v>
      </c>
      <c r="D131" s="14"/>
      <c r="E131" s="43">
        <v>0.76680601929639725</v>
      </c>
      <c r="F131" s="43">
        <v>0.84902231846020271</v>
      </c>
      <c r="G131" s="14"/>
      <c r="H131" s="43">
        <v>0.79045828488214132</v>
      </c>
      <c r="I131" s="43">
        <v>0.84927005325720273</v>
      </c>
      <c r="J131" s="14"/>
      <c r="K131" s="43">
        <v>0.81701380871010942</v>
      </c>
      <c r="L131" s="43">
        <v>0.85159233975989612</v>
      </c>
      <c r="M131" s="43">
        <v>0.79527196081701967</v>
      </c>
    </row>
    <row r="132" spans="1:13">
      <c r="A132" s="98" t="s">
        <v>29</v>
      </c>
      <c r="B132" s="44">
        <v>13970</v>
      </c>
      <c r="C132" s="44">
        <v>88878</v>
      </c>
      <c r="D132" s="12"/>
      <c r="E132" s="44">
        <v>37946</v>
      </c>
      <c r="F132" s="44">
        <v>194049</v>
      </c>
      <c r="G132" s="12"/>
      <c r="H132" s="44">
        <v>62242</v>
      </c>
      <c r="I132" s="44">
        <v>169753</v>
      </c>
      <c r="J132" s="12"/>
      <c r="K132" s="44">
        <v>52907</v>
      </c>
      <c r="L132" s="44">
        <v>122196</v>
      </c>
      <c r="M132" s="44">
        <v>56892</v>
      </c>
    </row>
    <row r="133" spans="1:13">
      <c r="A133" s="118"/>
      <c r="B133" s="43">
        <v>0.78784119106699757</v>
      </c>
      <c r="C133" s="43">
        <v>0.93249538358234008</v>
      </c>
      <c r="D133" s="14"/>
      <c r="E133" s="43">
        <v>0.82523596189813408</v>
      </c>
      <c r="F133" s="43">
        <v>0.91631959201019975</v>
      </c>
      <c r="G133" s="14"/>
      <c r="H133" s="43">
        <v>0.84970853640223343</v>
      </c>
      <c r="I133" s="43">
        <v>0.92006547389987048</v>
      </c>
      <c r="J133" s="14"/>
      <c r="K133" s="43">
        <v>0.87924816778289261</v>
      </c>
      <c r="L133" s="43">
        <v>0.91999819307042507</v>
      </c>
      <c r="M133" s="43">
        <v>0.8785459487005266</v>
      </c>
    </row>
    <row r="134" spans="1:13">
      <c r="A134" s="98" t="s">
        <v>30</v>
      </c>
      <c r="B134" s="44">
        <v>109128</v>
      </c>
      <c r="C134" s="44">
        <v>266107</v>
      </c>
      <c r="D134" s="12"/>
      <c r="E134" s="44">
        <v>253884</v>
      </c>
      <c r="F134" s="44">
        <v>678603</v>
      </c>
      <c r="G134" s="12"/>
      <c r="H134" s="44">
        <v>363355</v>
      </c>
      <c r="I134" s="44">
        <v>569132</v>
      </c>
      <c r="J134" s="12"/>
      <c r="K134" s="44">
        <v>254537</v>
      </c>
      <c r="L134" s="44">
        <v>423240</v>
      </c>
      <c r="M134" s="44">
        <v>254710</v>
      </c>
    </row>
    <row r="135" spans="1:13">
      <c r="A135" s="118"/>
      <c r="B135" s="43">
        <v>0.73918933564538858</v>
      </c>
      <c r="C135" s="43">
        <v>0.87235897889805702</v>
      </c>
      <c r="D135" s="14"/>
      <c r="E135" s="43">
        <v>0.76809090606554753</v>
      </c>
      <c r="F135" s="43">
        <v>0.84283955938042998</v>
      </c>
      <c r="G135" s="14"/>
      <c r="H135" s="43">
        <v>0.78938221128256825</v>
      </c>
      <c r="I135" s="43">
        <v>0.84269035720895802</v>
      </c>
      <c r="J135" s="14"/>
      <c r="K135" s="43">
        <v>0.81090113222935134</v>
      </c>
      <c r="L135" s="43">
        <v>0.84501305733247078</v>
      </c>
      <c r="M135" s="43">
        <v>0.7936967929302372</v>
      </c>
    </row>
    <row r="136" spans="1:13">
      <c r="A136" s="98" t="s">
        <v>31</v>
      </c>
      <c r="B136" s="44">
        <v>11423</v>
      </c>
      <c r="C136" s="44">
        <v>129552</v>
      </c>
      <c r="D136" s="12"/>
      <c r="E136" s="44">
        <v>33698</v>
      </c>
      <c r="F136" s="44">
        <v>241996</v>
      </c>
      <c r="G136" s="12"/>
      <c r="H136" s="44">
        <v>62565</v>
      </c>
      <c r="I136" s="44">
        <v>213129</v>
      </c>
      <c r="J136" s="12"/>
      <c r="K136" s="44">
        <v>63732</v>
      </c>
      <c r="L136" s="44">
        <v>147551</v>
      </c>
      <c r="M136" s="44">
        <v>64411</v>
      </c>
    </row>
    <row r="137" spans="1:13">
      <c r="A137" s="118"/>
      <c r="B137" s="43">
        <v>0.78293351610692252</v>
      </c>
      <c r="C137" s="43">
        <v>0.94369254527177637</v>
      </c>
      <c r="D137" s="15"/>
      <c r="E137" s="43">
        <v>0.82198263245194658</v>
      </c>
      <c r="F137" s="43">
        <v>0.9223111517646162</v>
      </c>
      <c r="G137" s="15"/>
      <c r="H137" s="43">
        <v>0.85666753385455885</v>
      </c>
      <c r="I137" s="43">
        <v>0.92526796994048011</v>
      </c>
      <c r="J137" s="15"/>
      <c r="K137" s="43">
        <v>0.89669921490277738</v>
      </c>
      <c r="L137" s="43">
        <v>0.92959565540617162</v>
      </c>
      <c r="M137" s="43">
        <v>0.87543492443187998</v>
      </c>
    </row>
    <row r="139" spans="1:13">
      <c r="A139" s="16" t="s">
        <v>39</v>
      </c>
      <c r="B139" s="4"/>
      <c r="C139" s="4"/>
      <c r="D139" s="4"/>
      <c r="E139" s="4"/>
      <c r="F139" s="4"/>
      <c r="G139" s="4"/>
      <c r="H139" s="4"/>
      <c r="I139" s="4"/>
      <c r="J139" s="4"/>
      <c r="K139" s="4"/>
      <c r="L139" s="4"/>
      <c r="M139" s="4"/>
    </row>
    <row r="140" spans="1:13">
      <c r="A140" s="5"/>
      <c r="B140" s="6" t="s">
        <v>16</v>
      </c>
      <c r="C140" s="7" t="s">
        <v>17</v>
      </c>
      <c r="D140" s="8"/>
      <c r="E140" s="9" t="s">
        <v>18</v>
      </c>
      <c r="F140" s="7" t="s">
        <v>19</v>
      </c>
      <c r="G140" s="8"/>
      <c r="H140" s="9" t="s">
        <v>20</v>
      </c>
      <c r="I140" s="7" t="s">
        <v>21</v>
      </c>
      <c r="J140" s="8"/>
      <c r="K140" s="9" t="s">
        <v>22</v>
      </c>
      <c r="L140" s="6" t="s">
        <v>23</v>
      </c>
      <c r="M140" s="6" t="s">
        <v>24</v>
      </c>
    </row>
    <row r="141" spans="1:13">
      <c r="A141" s="98" t="s">
        <v>25</v>
      </c>
      <c r="B141" s="44">
        <v>78678</v>
      </c>
      <c r="C141" s="44">
        <v>349030</v>
      </c>
      <c r="D141" s="12"/>
      <c r="E141" s="44">
        <v>236903</v>
      </c>
      <c r="F141" s="44">
        <v>710341</v>
      </c>
      <c r="G141" s="12"/>
      <c r="H141" s="44">
        <v>286337</v>
      </c>
      <c r="I141" s="44">
        <v>660907</v>
      </c>
      <c r="J141" s="12"/>
      <c r="K141" s="44">
        <v>233578</v>
      </c>
      <c r="L141" s="44">
        <v>454602</v>
      </c>
      <c r="M141" s="44">
        <v>259064</v>
      </c>
    </row>
    <row r="142" spans="1:13">
      <c r="A142" s="118"/>
      <c r="B142" s="43">
        <v>0.24604790362983048</v>
      </c>
      <c r="C142" s="43">
        <v>0.58831957334484031</v>
      </c>
      <c r="D142" s="14"/>
      <c r="E142" s="43">
        <v>0.28055280874925242</v>
      </c>
      <c r="F142" s="43">
        <v>0.47848491441589208</v>
      </c>
      <c r="G142" s="14"/>
      <c r="H142" s="43">
        <v>0.31052436374047293</v>
      </c>
      <c r="I142" s="43">
        <v>0.46977119421126329</v>
      </c>
      <c r="J142" s="14"/>
      <c r="K142" s="43">
        <v>0.36637329991326045</v>
      </c>
      <c r="L142" s="43">
        <v>0.45538663116549816</v>
      </c>
      <c r="M142" s="43">
        <v>0.37374343585896475</v>
      </c>
    </row>
    <row r="143" spans="1:13">
      <c r="A143" s="98" t="s">
        <v>26</v>
      </c>
      <c r="B143" s="44">
        <v>50627</v>
      </c>
      <c r="C143" s="44">
        <v>298648</v>
      </c>
      <c r="D143" s="12"/>
      <c r="E143" s="44">
        <v>159451</v>
      </c>
      <c r="F143" s="44">
        <v>575277</v>
      </c>
      <c r="G143" s="12"/>
      <c r="H143" s="44">
        <v>205971</v>
      </c>
      <c r="I143" s="44">
        <v>528757</v>
      </c>
      <c r="J143" s="12"/>
      <c r="K143" s="44">
        <v>180528</v>
      </c>
      <c r="L143" s="44">
        <v>370281</v>
      </c>
      <c r="M143" s="44">
        <v>183919</v>
      </c>
    </row>
    <row r="144" spans="1:13">
      <c r="A144" s="118"/>
      <c r="B144" s="43">
        <v>0.15832465513952346</v>
      </c>
      <c r="C144" s="43">
        <v>0.50339645285588586</v>
      </c>
      <c r="D144" s="14"/>
      <c r="E144" s="43">
        <v>0.18883013684029773</v>
      </c>
      <c r="F144" s="43">
        <v>0.38750595293025625</v>
      </c>
      <c r="G144" s="14"/>
      <c r="H144" s="43">
        <v>0.22336971374285874</v>
      </c>
      <c r="I144" s="43">
        <v>0.37583927441767895</v>
      </c>
      <c r="J144" s="14"/>
      <c r="K144" s="43">
        <v>0.28316296520537504</v>
      </c>
      <c r="L144" s="43">
        <v>0.37092009532424369</v>
      </c>
      <c r="M144" s="43">
        <v>0.26533412199203649</v>
      </c>
    </row>
    <row r="145" spans="1:13">
      <c r="A145" s="98" t="s">
        <v>27</v>
      </c>
      <c r="B145" s="44">
        <v>27934</v>
      </c>
      <c r="C145" s="44">
        <v>50380</v>
      </c>
      <c r="D145" s="12"/>
      <c r="E145" s="44">
        <v>77291</v>
      </c>
      <c r="F145" s="44">
        <v>135051</v>
      </c>
      <c r="G145" s="12"/>
      <c r="H145" s="44">
        <v>80199</v>
      </c>
      <c r="I145" s="44">
        <v>132143</v>
      </c>
      <c r="J145" s="12"/>
      <c r="K145" s="44">
        <v>52976</v>
      </c>
      <c r="L145" s="44">
        <v>84224</v>
      </c>
      <c r="M145" s="44">
        <v>75142</v>
      </c>
    </row>
    <row r="146" spans="1:13">
      <c r="A146" s="118"/>
      <c r="B146" s="43">
        <v>8.7357357075620687E-2</v>
      </c>
      <c r="C146" s="43">
        <v>8.4919749319866636E-2</v>
      </c>
      <c r="D146" s="14"/>
      <c r="E146" s="43">
        <v>9.1532007366046317E-2</v>
      </c>
      <c r="F146" s="43">
        <v>9.0970204699968943E-2</v>
      </c>
      <c r="G146" s="14"/>
      <c r="H146" s="43">
        <v>8.6973543229209596E-2</v>
      </c>
      <c r="I146" s="43">
        <v>9.3926944209486302E-2</v>
      </c>
      <c r="J146" s="14"/>
      <c r="K146" s="43">
        <v>8.3094263741469179E-2</v>
      </c>
      <c r="L146" s="43">
        <v>8.4369368421790741E-2</v>
      </c>
      <c r="M146" s="43">
        <v>0.10840498586185007</v>
      </c>
    </row>
    <row r="147" spans="1:13">
      <c r="A147" s="98" t="s">
        <v>28</v>
      </c>
      <c r="B147" s="44">
        <v>66374</v>
      </c>
      <c r="C147" s="44">
        <v>260708</v>
      </c>
      <c r="D147" s="12"/>
      <c r="E147" s="44">
        <v>197681</v>
      </c>
      <c r="F147" s="44">
        <v>544018</v>
      </c>
      <c r="G147" s="12"/>
      <c r="H147" s="44">
        <v>236733</v>
      </c>
      <c r="I147" s="44">
        <v>504966</v>
      </c>
      <c r="J147" s="12"/>
      <c r="K147" s="44">
        <v>187903</v>
      </c>
      <c r="L147" s="44">
        <v>344149</v>
      </c>
      <c r="M147" s="44">
        <v>209647</v>
      </c>
    </row>
    <row r="148" spans="1:13">
      <c r="A148" s="118"/>
      <c r="B148" s="43">
        <v>0.20756988682384361</v>
      </c>
      <c r="C148" s="43">
        <v>0.43944537526168698</v>
      </c>
      <c r="D148" s="14"/>
      <c r="E148" s="43">
        <v>0.23410408389239887</v>
      </c>
      <c r="F148" s="43">
        <v>0.36644992499476275</v>
      </c>
      <c r="G148" s="14"/>
      <c r="H148" s="43">
        <v>0.25673023116598054</v>
      </c>
      <c r="I148" s="43">
        <v>0.35892868566392061</v>
      </c>
      <c r="J148" s="14"/>
      <c r="K148" s="43">
        <v>0.29473084868267296</v>
      </c>
      <c r="L148" s="43">
        <v>0.3447429921755184</v>
      </c>
      <c r="M148" s="43">
        <v>0.3024510935426164</v>
      </c>
    </row>
    <row r="149" spans="1:13">
      <c r="A149" s="98" t="s">
        <v>29</v>
      </c>
      <c r="B149" s="44">
        <v>12304</v>
      </c>
      <c r="C149" s="44">
        <v>88322</v>
      </c>
      <c r="D149" s="12"/>
      <c r="E149" s="44">
        <v>39222</v>
      </c>
      <c r="F149" s="44">
        <v>166323</v>
      </c>
      <c r="G149" s="12"/>
      <c r="H149" s="44">
        <v>49604</v>
      </c>
      <c r="I149" s="44">
        <v>155941</v>
      </c>
      <c r="J149" s="12"/>
      <c r="K149" s="44">
        <v>45675</v>
      </c>
      <c r="L149" s="44">
        <v>110453</v>
      </c>
      <c r="M149" s="44">
        <v>49417</v>
      </c>
    </row>
    <row r="150" spans="1:13">
      <c r="A150" s="118"/>
      <c r="B150" s="43">
        <v>3.8478016805986857E-2</v>
      </c>
      <c r="C150" s="43">
        <v>0.14887419808315325</v>
      </c>
      <c r="D150" s="14"/>
      <c r="E150" s="43">
        <v>4.6448724856853564E-2</v>
      </c>
      <c r="F150" s="43">
        <v>0.11203498942112931</v>
      </c>
      <c r="G150" s="14"/>
      <c r="H150" s="43">
        <v>5.3794132574492358E-2</v>
      </c>
      <c r="I150" s="43">
        <v>0.11084250854734268</v>
      </c>
      <c r="J150" s="14"/>
      <c r="K150" s="43">
        <v>7.1642451230587517E-2</v>
      </c>
      <c r="L150" s="43">
        <v>0.11064363898997974</v>
      </c>
      <c r="M150" s="43">
        <v>7.1292342316348317E-2</v>
      </c>
    </row>
    <row r="151" spans="1:13">
      <c r="A151" s="98" t="s">
        <v>30</v>
      </c>
      <c r="B151" s="44">
        <v>70445</v>
      </c>
      <c r="C151" s="44">
        <v>234506</v>
      </c>
      <c r="D151" s="12"/>
      <c r="E151" s="44">
        <v>205590</v>
      </c>
      <c r="F151" s="44">
        <v>518857</v>
      </c>
      <c r="G151" s="12"/>
      <c r="H151" s="44">
        <v>241288</v>
      </c>
      <c r="I151" s="44">
        <v>483159</v>
      </c>
      <c r="J151" s="12"/>
      <c r="K151" s="44">
        <v>184041</v>
      </c>
      <c r="L151" s="44">
        <v>333591</v>
      </c>
      <c r="M151" s="44">
        <v>206815</v>
      </c>
    </row>
    <row r="152" spans="1:13">
      <c r="A152" s="118"/>
      <c r="B152" s="43">
        <v>0.22030103168869833</v>
      </c>
      <c r="C152" s="43">
        <v>0.39527968904336336</v>
      </c>
      <c r="D152" s="14"/>
      <c r="E152" s="43">
        <v>0.24347033153129682</v>
      </c>
      <c r="F152" s="43">
        <v>0.34950150313593964</v>
      </c>
      <c r="G152" s="14"/>
      <c r="H152" s="43">
        <v>0.2616699996095902</v>
      </c>
      <c r="I152" s="43">
        <v>0.34342831960309056</v>
      </c>
      <c r="J152" s="14"/>
      <c r="K152" s="43">
        <v>0.28867319905700184</v>
      </c>
      <c r="L152" s="43">
        <v>0.33416676934357897</v>
      </c>
      <c r="M152" s="43">
        <v>0.2983654567488026</v>
      </c>
    </row>
    <row r="153" spans="1:13">
      <c r="A153" s="98" t="s">
        <v>31</v>
      </c>
      <c r="B153" s="44">
        <v>8233</v>
      </c>
      <c r="C153" s="44">
        <v>114524</v>
      </c>
      <c r="D153" s="12"/>
      <c r="E153" s="44">
        <v>31313</v>
      </c>
      <c r="F153" s="44">
        <v>191484</v>
      </c>
      <c r="G153" s="12"/>
      <c r="H153" s="44">
        <v>45049</v>
      </c>
      <c r="I153" s="44">
        <v>177748</v>
      </c>
      <c r="J153" s="12"/>
      <c r="K153" s="44">
        <v>49537</v>
      </c>
      <c r="L153" s="44">
        <v>121011</v>
      </c>
      <c r="M153" s="44">
        <v>52249</v>
      </c>
    </row>
    <row r="154" spans="1:13">
      <c r="A154" s="118"/>
      <c r="B154" s="43">
        <v>2.5746871941132139E-2</v>
      </c>
      <c r="C154" s="43">
        <v>0.19303988430147692</v>
      </c>
      <c r="D154" s="15"/>
      <c r="E154" s="43">
        <v>3.7082477217955628E-2</v>
      </c>
      <c r="F154" s="43">
        <v>0.12898341127995241</v>
      </c>
      <c r="G154" s="15"/>
      <c r="H154" s="43">
        <v>4.8854364130882719E-2</v>
      </c>
      <c r="I154" s="43">
        <v>0.12634287460817276</v>
      </c>
      <c r="J154" s="15"/>
      <c r="K154" s="43">
        <v>7.7700100856258655E-2</v>
      </c>
      <c r="L154" s="43">
        <v>0.12121986182191917</v>
      </c>
      <c r="M154" s="43">
        <v>7.5377979110162155E-2</v>
      </c>
    </row>
    <row r="156" spans="1:13">
      <c r="A156" s="16" t="s">
        <v>40</v>
      </c>
      <c r="B156" s="4"/>
      <c r="C156" s="4"/>
      <c r="D156" s="4"/>
      <c r="E156" s="4"/>
      <c r="F156" s="4"/>
      <c r="G156" s="4"/>
      <c r="H156" s="4"/>
      <c r="I156" s="4"/>
      <c r="J156" s="4"/>
      <c r="K156" s="4"/>
      <c r="L156" s="4"/>
      <c r="M156" s="4"/>
    </row>
    <row r="157" spans="1:13">
      <c r="A157" s="5"/>
      <c r="B157" s="6" t="s">
        <v>16</v>
      </c>
      <c r="C157" s="7" t="s">
        <v>17</v>
      </c>
      <c r="D157" s="8"/>
      <c r="E157" s="9" t="s">
        <v>18</v>
      </c>
      <c r="F157" s="7" t="s">
        <v>19</v>
      </c>
      <c r="G157" s="8"/>
      <c r="H157" s="9" t="s">
        <v>20</v>
      </c>
      <c r="I157" s="7" t="s">
        <v>21</v>
      </c>
      <c r="J157" s="8"/>
      <c r="K157" s="9" t="s">
        <v>22</v>
      </c>
      <c r="L157" s="6" t="s">
        <v>23</v>
      </c>
      <c r="M157" s="6" t="s">
        <v>24</v>
      </c>
    </row>
    <row r="158" spans="1:13">
      <c r="A158" s="98" t="s">
        <v>25</v>
      </c>
      <c r="B158" s="44">
        <v>77511</v>
      </c>
      <c r="C158" s="44">
        <v>346506</v>
      </c>
      <c r="D158" s="12"/>
      <c r="E158" s="44">
        <v>237686</v>
      </c>
      <c r="F158" s="44">
        <v>716303</v>
      </c>
      <c r="G158" s="12"/>
      <c r="H158" s="44">
        <v>280375</v>
      </c>
      <c r="I158" s="44">
        <v>673614</v>
      </c>
      <c r="J158" s="12"/>
      <c r="K158" s="44">
        <v>233246</v>
      </c>
      <c r="L158" s="44">
        <v>456179</v>
      </c>
      <c r="M158" s="44">
        <v>264564</v>
      </c>
    </row>
    <row r="159" spans="1:13">
      <c r="A159" s="118"/>
      <c r="B159" s="43">
        <v>0.24787497361705393</v>
      </c>
      <c r="C159" s="43">
        <v>0.59384570561872851</v>
      </c>
      <c r="D159" s="14"/>
      <c r="E159" s="43">
        <v>0.28471697322161199</v>
      </c>
      <c r="F159" s="43">
        <v>0.48586269603490762</v>
      </c>
      <c r="G159" s="14"/>
      <c r="H159" s="43">
        <v>0.31480949183600598</v>
      </c>
      <c r="I159" s="43">
        <v>0.47488170502676091</v>
      </c>
      <c r="J159" s="14"/>
      <c r="K159" s="43">
        <v>0.37143566926450494</v>
      </c>
      <c r="L159" s="43">
        <v>0.46134560948057296</v>
      </c>
      <c r="M159" s="43">
        <v>0.3821263037176445</v>
      </c>
    </row>
    <row r="160" spans="1:13">
      <c r="A160" s="98" t="s">
        <v>26</v>
      </c>
      <c r="B160" s="44">
        <v>50220</v>
      </c>
      <c r="C160" s="44">
        <v>296934</v>
      </c>
      <c r="D160" s="12"/>
      <c r="E160" s="44">
        <v>162129</v>
      </c>
      <c r="F160" s="44">
        <v>581888</v>
      </c>
      <c r="G160" s="12"/>
      <c r="H160" s="44">
        <v>203615</v>
      </c>
      <c r="I160" s="44">
        <v>540402</v>
      </c>
      <c r="J160" s="12"/>
      <c r="K160" s="44">
        <v>181929</v>
      </c>
      <c r="L160" s="44">
        <v>372791</v>
      </c>
      <c r="M160" s="44">
        <v>189297</v>
      </c>
    </row>
    <row r="161" spans="1:13">
      <c r="A161" s="118"/>
      <c r="B161" s="43">
        <v>0.16060018803845194</v>
      </c>
      <c r="C161" s="43">
        <v>0.50888867942313132</v>
      </c>
      <c r="D161" s="14"/>
      <c r="E161" s="43">
        <v>0.19420949551697084</v>
      </c>
      <c r="F161" s="43">
        <v>0.3946900577972734</v>
      </c>
      <c r="G161" s="14"/>
      <c r="H161" s="43">
        <v>0.22862214776705614</v>
      </c>
      <c r="I161" s="43">
        <v>0.38097044176616229</v>
      </c>
      <c r="J161" s="14"/>
      <c r="K161" s="43">
        <v>0.28971523573232605</v>
      </c>
      <c r="L161" s="43">
        <v>0.37701317049638905</v>
      </c>
      <c r="M161" s="43">
        <v>0.2734134761904074</v>
      </c>
    </row>
    <row r="162" spans="1:13">
      <c r="A162" s="98" t="s">
        <v>27</v>
      </c>
      <c r="B162" s="44">
        <v>27192</v>
      </c>
      <c r="C162" s="44">
        <v>49560</v>
      </c>
      <c r="D162" s="12"/>
      <c r="E162" s="44">
        <v>75400</v>
      </c>
      <c r="F162" s="44">
        <v>134386</v>
      </c>
      <c r="G162" s="12"/>
      <c r="H162" s="44">
        <v>76601</v>
      </c>
      <c r="I162" s="44">
        <v>133185</v>
      </c>
      <c r="J162" s="12"/>
      <c r="K162" s="44">
        <v>51240</v>
      </c>
      <c r="L162" s="44">
        <v>83299</v>
      </c>
      <c r="M162" s="44">
        <v>75247</v>
      </c>
    </row>
    <row r="163" spans="1:13">
      <c r="A163" s="118"/>
      <c r="B163" s="43">
        <v>8.695819022583802E-2</v>
      </c>
      <c r="C163" s="43">
        <v>8.4936460466670666E-2</v>
      </c>
      <c r="D163" s="14"/>
      <c r="E163" s="43">
        <v>9.0319412085312314E-2</v>
      </c>
      <c r="F163" s="43">
        <v>9.115296776552255E-2</v>
      </c>
      <c r="G163" s="14"/>
      <c r="H163" s="43">
        <v>8.6008816349995174E-2</v>
      </c>
      <c r="I163" s="43">
        <v>9.3892228908527955E-2</v>
      </c>
      <c r="J163" s="14"/>
      <c r="K163" s="43">
        <v>8.1597813866532476E-2</v>
      </c>
      <c r="L163" s="43">
        <v>8.4242430984596495E-2</v>
      </c>
      <c r="M163" s="43">
        <v>0.10868394027850196</v>
      </c>
    </row>
    <row r="164" spans="1:13">
      <c r="A164" s="98" t="s">
        <v>28</v>
      </c>
      <c r="B164" s="44">
        <v>65322</v>
      </c>
      <c r="C164" s="44">
        <v>256273</v>
      </c>
      <c r="D164" s="12"/>
      <c r="E164" s="44">
        <v>198121</v>
      </c>
      <c r="F164" s="44">
        <v>544097</v>
      </c>
      <c r="G164" s="12"/>
      <c r="H164" s="44">
        <v>230852</v>
      </c>
      <c r="I164" s="44">
        <v>511366</v>
      </c>
      <c r="J164" s="12"/>
      <c r="K164" s="44">
        <v>186588</v>
      </c>
      <c r="L164" s="44">
        <v>342690</v>
      </c>
      <c r="M164" s="44">
        <v>212940</v>
      </c>
    </row>
    <row r="165" spans="1:13">
      <c r="A165" s="118"/>
      <c r="B165" s="43">
        <v>0.20889537003281078</v>
      </c>
      <c r="C165" s="43">
        <v>0.4392034207662448</v>
      </c>
      <c r="D165" s="14"/>
      <c r="E165" s="43">
        <v>0.23732323928055918</v>
      </c>
      <c r="F165" s="43">
        <v>0.36905671946718793</v>
      </c>
      <c r="G165" s="14"/>
      <c r="H165" s="43">
        <v>0.25920428286874958</v>
      </c>
      <c r="I165" s="43">
        <v>0.36050075855417879</v>
      </c>
      <c r="J165" s="14"/>
      <c r="K165" s="43">
        <v>0.29713452173553007</v>
      </c>
      <c r="L165" s="43">
        <v>0.34657125144493178</v>
      </c>
      <c r="M165" s="43">
        <v>0.30756253728260541</v>
      </c>
    </row>
    <row r="166" spans="1:13">
      <c r="A166" s="98" t="s">
        <v>29</v>
      </c>
      <c r="B166" s="44">
        <v>12189</v>
      </c>
      <c r="C166" s="44">
        <v>90233</v>
      </c>
      <c r="D166" s="12"/>
      <c r="E166" s="44">
        <v>39565</v>
      </c>
      <c r="F166" s="44">
        <v>172206</v>
      </c>
      <c r="G166" s="12"/>
      <c r="H166" s="44">
        <v>49523</v>
      </c>
      <c r="I166" s="44">
        <v>162248</v>
      </c>
      <c r="J166" s="12"/>
      <c r="K166" s="44">
        <v>46658</v>
      </c>
      <c r="L166" s="44">
        <v>113489</v>
      </c>
      <c r="M166" s="44">
        <v>51624</v>
      </c>
    </row>
    <row r="167" spans="1:13">
      <c r="A167" s="118"/>
      <c r="B167" s="43">
        <v>3.8979603584243148E-2</v>
      </c>
      <c r="C167" s="43">
        <v>0.15464228485248374</v>
      </c>
      <c r="D167" s="14"/>
      <c r="E167" s="43">
        <v>4.7393733941052806E-2</v>
      </c>
      <c r="F167" s="43">
        <v>0.11680597656771967</v>
      </c>
      <c r="G167" s="14"/>
      <c r="H167" s="43">
        <v>5.5605208967256445E-2</v>
      </c>
      <c r="I167" s="43">
        <v>0.11438094647258207</v>
      </c>
      <c r="J167" s="14"/>
      <c r="K167" s="43">
        <v>7.4301147528974862E-2</v>
      </c>
      <c r="L167" s="43">
        <v>0.11477435803564115</v>
      </c>
      <c r="M167" s="43">
        <v>7.4563766435039078E-2</v>
      </c>
    </row>
    <row r="168" spans="1:13">
      <c r="A168" s="98" t="s">
        <v>30</v>
      </c>
      <c r="B168" s="44">
        <v>69334</v>
      </c>
      <c r="C168" s="44">
        <v>234068</v>
      </c>
      <c r="D168" s="12"/>
      <c r="E168" s="44">
        <v>206611</v>
      </c>
      <c r="F168" s="44">
        <v>525117</v>
      </c>
      <c r="G168" s="12"/>
      <c r="H168" s="44">
        <v>236536</v>
      </c>
      <c r="I168" s="44">
        <v>495192</v>
      </c>
      <c r="J168" s="12"/>
      <c r="K168" s="44">
        <v>184340</v>
      </c>
      <c r="L168" s="44">
        <v>335217</v>
      </c>
      <c r="M168" s="44">
        <v>212171</v>
      </c>
    </row>
    <row r="169" spans="1:13">
      <c r="A169" s="118"/>
      <c r="B169" s="43">
        <v>0.22172547665189221</v>
      </c>
      <c r="C169" s="43">
        <v>0.40114825319839931</v>
      </c>
      <c r="D169" s="14"/>
      <c r="E169" s="43">
        <v>0.24749315716655787</v>
      </c>
      <c r="F169" s="43">
        <v>0.35618273461616468</v>
      </c>
      <c r="G169" s="14"/>
      <c r="H169" s="43">
        <v>0.26558636811741959</v>
      </c>
      <c r="I169" s="43">
        <v>0.34909847668785354</v>
      </c>
      <c r="J169" s="14"/>
      <c r="K169" s="43">
        <v>0.29355466448393047</v>
      </c>
      <c r="L169" s="43">
        <v>0.33901361345710612</v>
      </c>
      <c r="M169" s="43">
        <v>0.30645182256874082</v>
      </c>
    </row>
    <row r="170" spans="1:13">
      <c r="A170" s="98" t="s">
        <v>31</v>
      </c>
      <c r="B170" s="44">
        <v>8177</v>
      </c>
      <c r="C170" s="44">
        <v>112438</v>
      </c>
      <c r="D170" s="12"/>
      <c r="E170" s="44">
        <v>31075</v>
      </c>
      <c r="F170" s="44">
        <v>191186</v>
      </c>
      <c r="G170" s="12"/>
      <c r="H170" s="44">
        <v>43839</v>
      </c>
      <c r="I170" s="44">
        <v>178422</v>
      </c>
      <c r="J170" s="12"/>
      <c r="K170" s="44">
        <v>48906</v>
      </c>
      <c r="L170" s="44">
        <v>120962</v>
      </c>
      <c r="M170" s="44">
        <v>52393</v>
      </c>
    </row>
    <row r="171" spans="1:13">
      <c r="A171" s="118"/>
      <c r="B171" s="43">
        <v>2.6149496965161719E-2</v>
      </c>
      <c r="C171" s="43">
        <v>0.19269745242032923</v>
      </c>
      <c r="D171" s="15"/>
      <c r="E171" s="43">
        <v>3.7223816055054114E-2</v>
      </c>
      <c r="F171" s="43">
        <v>0.12967996141874297</v>
      </c>
      <c r="G171" s="15"/>
      <c r="H171" s="43">
        <v>4.922312371858642E-2</v>
      </c>
      <c r="I171" s="43">
        <v>0.12578322833890734</v>
      </c>
      <c r="J171" s="15"/>
      <c r="K171" s="43">
        <v>7.7881004780574498E-2</v>
      </c>
      <c r="L171" s="43">
        <v>0.12233199602346681</v>
      </c>
      <c r="M171" s="43">
        <v>7.5674481148903655E-2</v>
      </c>
    </row>
    <row r="173" spans="1:13">
      <c r="A173" s="16" t="s">
        <v>41</v>
      </c>
      <c r="B173" s="16"/>
      <c r="C173" s="16"/>
      <c r="D173" s="16"/>
      <c r="E173" s="16"/>
      <c r="F173" s="16"/>
      <c r="G173" s="16"/>
      <c r="H173" s="16"/>
      <c r="I173" s="16"/>
      <c r="J173" s="16"/>
      <c r="K173" s="16"/>
      <c r="L173" s="16"/>
      <c r="M173" s="16"/>
    </row>
    <row r="174" spans="1:13">
      <c r="A174" s="5"/>
      <c r="B174" s="6" t="s">
        <v>16</v>
      </c>
      <c r="C174" s="7" t="s">
        <v>17</v>
      </c>
      <c r="D174" s="8"/>
      <c r="E174" s="9" t="s">
        <v>18</v>
      </c>
      <c r="F174" s="7" t="s">
        <v>19</v>
      </c>
      <c r="G174" s="8"/>
      <c r="H174" s="9" t="s">
        <v>20</v>
      </c>
      <c r="I174" s="7" t="s">
        <v>21</v>
      </c>
      <c r="J174" s="8"/>
      <c r="K174" s="9" t="s">
        <v>22</v>
      </c>
      <c r="L174" s="6" t="s">
        <v>23</v>
      </c>
      <c r="M174" s="6" t="s">
        <v>24</v>
      </c>
    </row>
    <row r="175" spans="1:13">
      <c r="A175" s="101" t="s">
        <v>42</v>
      </c>
      <c r="B175" s="44">
        <v>319767</v>
      </c>
      <c r="C175" s="44">
        <v>593266</v>
      </c>
      <c r="D175" s="40"/>
      <c r="E175" s="44">
        <v>844415</v>
      </c>
      <c r="F175" s="44">
        <v>1484563</v>
      </c>
      <c r="G175" s="40"/>
      <c r="H175" s="44">
        <v>922108</v>
      </c>
      <c r="I175" s="44">
        <v>1406870</v>
      </c>
      <c r="J175" s="40"/>
      <c r="K175" s="44">
        <v>637541</v>
      </c>
      <c r="L175" s="44">
        <v>998277</v>
      </c>
      <c r="M175" s="44">
        <v>693160</v>
      </c>
    </row>
    <row r="176" spans="1:13">
      <c r="A176" s="102"/>
      <c r="B176" s="43">
        <v>0.24604790362983048</v>
      </c>
      <c r="C176" s="43">
        <v>0.58831957334484031</v>
      </c>
      <c r="D176" s="41"/>
      <c r="E176" s="43">
        <v>0.28055280874925242</v>
      </c>
      <c r="F176" s="43">
        <v>0.47848491441589208</v>
      </c>
      <c r="G176" s="41"/>
      <c r="H176" s="43">
        <v>0.31052436374047293</v>
      </c>
      <c r="I176" s="43">
        <v>0.46977119421126329</v>
      </c>
      <c r="J176" s="41"/>
      <c r="K176" s="43">
        <v>0.36637329991326045</v>
      </c>
      <c r="L176" s="43">
        <v>0.45538663116549816</v>
      </c>
      <c r="M176" s="43">
        <v>0.37374343585896475</v>
      </c>
    </row>
    <row r="177" spans="1:13">
      <c r="A177" s="101" t="s">
        <v>43</v>
      </c>
      <c r="B177" s="44">
        <v>24104</v>
      </c>
      <c r="C177" s="44">
        <v>132241</v>
      </c>
      <c r="D177" s="40"/>
      <c r="E177" s="44">
        <v>73458</v>
      </c>
      <c r="F177" s="44">
        <v>254110</v>
      </c>
      <c r="G177" s="40"/>
      <c r="H177" s="44">
        <v>97379</v>
      </c>
      <c r="I177" s="44">
        <v>230189</v>
      </c>
      <c r="J177" s="40"/>
      <c r="K177" s="44">
        <v>88524</v>
      </c>
      <c r="L177" s="44">
        <v>164127</v>
      </c>
      <c r="M177" s="44">
        <v>74917</v>
      </c>
    </row>
    <row r="178" spans="1:13">
      <c r="A178" s="102"/>
      <c r="B178" s="43">
        <v>7.5379885979478811E-2</v>
      </c>
      <c r="C178" s="43">
        <v>0.22290338566511481</v>
      </c>
      <c r="D178" s="41"/>
      <c r="E178" s="43">
        <v>8.699277014264313E-2</v>
      </c>
      <c r="F178" s="43">
        <v>0.17116821583186434</v>
      </c>
      <c r="G178" s="41"/>
      <c r="H178" s="43">
        <v>0.10560476646987121</v>
      </c>
      <c r="I178" s="43">
        <v>0.16361781827745278</v>
      </c>
      <c r="J178" s="41"/>
      <c r="K178" s="43">
        <v>0.13885224636533181</v>
      </c>
      <c r="L178" s="43">
        <v>0.1644102789105629</v>
      </c>
      <c r="M178" s="43">
        <v>0.10808038548098563</v>
      </c>
    </row>
    <row r="179" spans="1:13">
      <c r="A179" s="101" t="s">
        <v>44</v>
      </c>
      <c r="B179" s="44">
        <v>51011</v>
      </c>
      <c r="C179" s="44">
        <v>303837</v>
      </c>
      <c r="D179" s="40"/>
      <c r="E179" s="44">
        <v>161515</v>
      </c>
      <c r="F179" s="44">
        <v>585211</v>
      </c>
      <c r="G179" s="40"/>
      <c r="H179" s="44">
        <v>208835</v>
      </c>
      <c r="I179" s="44">
        <v>537891</v>
      </c>
      <c r="J179" s="40"/>
      <c r="K179" s="44">
        <v>184920</v>
      </c>
      <c r="L179" s="44">
        <v>374176</v>
      </c>
      <c r="M179" s="44">
        <v>187630</v>
      </c>
    </row>
    <row r="180" spans="1:13">
      <c r="A180" s="102"/>
      <c r="B180" s="43">
        <v>0.15952552952618626</v>
      </c>
      <c r="C180" s="43">
        <v>0.51214295105399599</v>
      </c>
      <c r="D180" s="41"/>
      <c r="E180" s="43">
        <v>0.19127443259534707</v>
      </c>
      <c r="F180" s="43">
        <v>0.39419748437755758</v>
      </c>
      <c r="G180" s="41"/>
      <c r="H180" s="43">
        <v>0.22647564059741376</v>
      </c>
      <c r="I180" s="43">
        <v>0.38233170086788404</v>
      </c>
      <c r="J180" s="41"/>
      <c r="K180" s="43">
        <v>0.29005193391483841</v>
      </c>
      <c r="L180" s="43">
        <v>0.37482181799240089</v>
      </c>
      <c r="M180" s="43">
        <v>0.27068786427376074</v>
      </c>
    </row>
    <row r="181" spans="1:13">
      <c r="A181" s="101" t="s">
        <v>45</v>
      </c>
      <c r="B181" s="44">
        <v>20736</v>
      </c>
      <c r="C181" s="44">
        <v>126914</v>
      </c>
      <c r="D181" s="40"/>
      <c r="E181" s="44">
        <v>65093</v>
      </c>
      <c r="F181" s="44">
        <v>240923</v>
      </c>
      <c r="G181" s="40"/>
      <c r="H181" s="44">
        <v>87600</v>
      </c>
      <c r="I181" s="44">
        <v>218416</v>
      </c>
      <c r="J181" s="40"/>
      <c r="K181" s="44">
        <v>81700</v>
      </c>
      <c r="L181" s="44">
        <v>154791</v>
      </c>
      <c r="M181" s="44">
        <v>69525</v>
      </c>
    </row>
    <row r="182" spans="1:13">
      <c r="A182" s="102"/>
      <c r="B182" s="43">
        <v>6.4847216879790601E-2</v>
      </c>
      <c r="C182" s="43">
        <v>0.21392427679995146</v>
      </c>
      <c r="D182" s="42"/>
      <c r="E182" s="43">
        <v>7.7086503674141271E-2</v>
      </c>
      <c r="F182" s="43">
        <v>0.16228546717114734</v>
      </c>
      <c r="G182" s="42"/>
      <c r="H182" s="43">
        <v>9.4999718037366551E-2</v>
      </c>
      <c r="I182" s="43">
        <v>0.15524959662228918</v>
      </c>
      <c r="J182" s="42"/>
      <c r="K182" s="43">
        <v>0.12814862102986319</v>
      </c>
      <c r="L182" s="43">
        <v>0.15505816521867177</v>
      </c>
      <c r="M182" s="43">
        <v>0.10030151768711408</v>
      </c>
    </row>
    <row r="184" spans="1:13">
      <c r="A184" s="78" t="s">
        <v>46</v>
      </c>
      <c r="B184" s="16"/>
      <c r="C184" s="16"/>
      <c r="D184" s="16"/>
      <c r="E184" s="16"/>
      <c r="F184" s="16"/>
      <c r="G184" s="16"/>
      <c r="H184" s="16"/>
      <c r="I184" s="16"/>
      <c r="J184" s="16"/>
      <c r="K184" s="16"/>
      <c r="L184" s="16"/>
      <c r="M184" s="16"/>
    </row>
    <row r="185" spans="1:13">
      <c r="A185" s="5"/>
      <c r="B185" s="6" t="s">
        <v>16</v>
      </c>
      <c r="C185" s="7" t="s">
        <v>17</v>
      </c>
      <c r="D185" s="8"/>
      <c r="E185" s="9" t="s">
        <v>18</v>
      </c>
      <c r="F185" s="7" t="s">
        <v>19</v>
      </c>
      <c r="G185" s="8"/>
      <c r="H185" s="9" t="s">
        <v>20</v>
      </c>
      <c r="I185" s="7" t="s">
        <v>21</v>
      </c>
      <c r="J185" s="8"/>
      <c r="K185" s="9" t="s">
        <v>22</v>
      </c>
      <c r="L185" s="6" t="s">
        <v>23</v>
      </c>
      <c r="M185" s="6" t="s">
        <v>24</v>
      </c>
    </row>
    <row r="186" spans="1:13" ht="15">
      <c r="A186" s="103" t="s">
        <v>47</v>
      </c>
      <c r="B186" s="44">
        <v>5316</v>
      </c>
      <c r="C186" s="44">
        <v>32607</v>
      </c>
      <c r="D186" s="40"/>
      <c r="E186" s="44">
        <v>17900</v>
      </c>
      <c r="F186" s="44">
        <v>64724</v>
      </c>
      <c r="G186" s="40"/>
      <c r="H186" s="44">
        <v>23563</v>
      </c>
      <c r="I186" s="44">
        <v>59061</v>
      </c>
      <c r="J186" s="40"/>
      <c r="K186" s="44">
        <v>21436</v>
      </c>
      <c r="L186" s="44">
        <v>39394</v>
      </c>
      <c r="M186" s="44">
        <v>21794</v>
      </c>
    </row>
    <row r="187" spans="1:13">
      <c r="A187" s="104"/>
      <c r="B187" s="43">
        <v>0.22054430799867242</v>
      </c>
      <c r="C187" s="43">
        <v>0.24657254557966138</v>
      </c>
      <c r="D187" s="41"/>
      <c r="E187" s="43">
        <v>0.24367665877099839</v>
      </c>
      <c r="F187" s="43">
        <v>0.25470859076777774</v>
      </c>
      <c r="G187" s="41"/>
      <c r="H187" s="43">
        <v>0.24197208843795889</v>
      </c>
      <c r="I187" s="43">
        <v>0.25657611788573736</v>
      </c>
      <c r="J187" s="41"/>
      <c r="K187" s="43">
        <v>0.24214902173421896</v>
      </c>
      <c r="L187" s="43">
        <v>0.24002144680643647</v>
      </c>
      <c r="M187" s="43">
        <v>0.29090860552344594</v>
      </c>
    </row>
    <row r="188" spans="1:13">
      <c r="A188" s="99" t="s">
        <v>48</v>
      </c>
      <c r="B188" s="44">
        <v>3349</v>
      </c>
      <c r="C188" s="44">
        <v>19973</v>
      </c>
      <c r="D188" s="40"/>
      <c r="E188" s="44">
        <v>10581</v>
      </c>
      <c r="F188" s="44">
        <v>37298</v>
      </c>
      <c r="G188" s="40"/>
      <c r="H188" s="44">
        <v>14546</v>
      </c>
      <c r="I188" s="44">
        <v>33333</v>
      </c>
      <c r="J188" s="40"/>
      <c r="K188" s="44">
        <v>13471</v>
      </c>
      <c r="L188" s="44">
        <v>24799</v>
      </c>
      <c r="M188" s="44">
        <v>9609</v>
      </c>
    </row>
    <row r="189" spans="1:13">
      <c r="A189" s="100"/>
      <c r="B189" s="43">
        <v>0.1389395950879522</v>
      </c>
      <c r="C189" s="43">
        <v>0.15103485303347675</v>
      </c>
      <c r="D189" s="41"/>
      <c r="E189" s="43">
        <v>0.14404149309809688</v>
      </c>
      <c r="F189" s="43">
        <v>0.14677895399630081</v>
      </c>
      <c r="G189" s="41"/>
      <c r="H189" s="43">
        <v>0.14937512194621017</v>
      </c>
      <c r="I189" s="43">
        <v>0.14480709330159131</v>
      </c>
      <c r="J189" s="41"/>
      <c r="K189" s="43">
        <v>0.15217342189688671</v>
      </c>
      <c r="L189" s="43">
        <v>0.15109640705063762</v>
      </c>
      <c r="M189" s="43">
        <v>0.12826194321716033</v>
      </c>
    </row>
    <row r="190" spans="1:13">
      <c r="A190" s="99" t="s">
        <v>49</v>
      </c>
      <c r="B190" s="44">
        <v>106</v>
      </c>
      <c r="C190" s="44">
        <v>1001</v>
      </c>
      <c r="D190" s="40"/>
      <c r="E190" s="44">
        <v>424</v>
      </c>
      <c r="F190" s="44">
        <v>1925</v>
      </c>
      <c r="G190" s="40"/>
      <c r="H190" s="44">
        <v>513</v>
      </c>
      <c r="I190" s="44">
        <v>1836</v>
      </c>
      <c r="J190" s="40"/>
      <c r="K190" s="44">
        <v>600</v>
      </c>
      <c r="L190" s="44">
        <v>1081</v>
      </c>
      <c r="M190" s="44">
        <v>668</v>
      </c>
    </row>
    <row r="191" spans="1:13">
      <c r="A191" s="100"/>
      <c r="B191" s="43">
        <v>4.3976103551277793E-3</v>
      </c>
      <c r="C191" s="43">
        <v>7.5695132371957257E-3</v>
      </c>
      <c r="D191" s="41"/>
      <c r="E191" s="43">
        <v>5.772005772005772E-3</v>
      </c>
      <c r="F191" s="43">
        <v>7.5754594466963124E-3</v>
      </c>
      <c r="G191" s="41"/>
      <c r="H191" s="43">
        <v>5.2680762792799265E-3</v>
      </c>
      <c r="I191" s="43">
        <v>7.9760544595962445E-3</v>
      </c>
      <c r="J191" s="41"/>
      <c r="K191" s="43">
        <v>6.7778229632641995E-3</v>
      </c>
      <c r="L191" s="43">
        <v>6.5863629993846229E-3</v>
      </c>
      <c r="M191" s="43">
        <v>8.9165342979564046E-3</v>
      </c>
    </row>
    <row r="192" spans="1:13">
      <c r="A192" s="99" t="s">
        <v>50</v>
      </c>
      <c r="B192" s="44">
        <v>2580</v>
      </c>
      <c r="C192" s="44">
        <v>25700</v>
      </c>
      <c r="D192" s="40"/>
      <c r="E192" s="44">
        <v>9314</v>
      </c>
      <c r="F192" s="44">
        <v>45818</v>
      </c>
      <c r="G192" s="40"/>
      <c r="H192" s="44">
        <v>13000</v>
      </c>
      <c r="I192" s="44">
        <v>42132</v>
      </c>
      <c r="J192" s="40"/>
      <c r="K192" s="44">
        <v>13858</v>
      </c>
      <c r="L192" s="44">
        <v>28415</v>
      </c>
      <c r="M192" s="44">
        <v>12859</v>
      </c>
    </row>
    <row r="193" spans="1:13">
      <c r="A193" s="100"/>
      <c r="B193" s="43">
        <v>0.10703617656820445</v>
      </c>
      <c r="C193" s="43">
        <v>0.19434214804788227</v>
      </c>
      <c r="D193" s="42"/>
      <c r="E193" s="43">
        <v>0.1267935418878815</v>
      </c>
      <c r="F193" s="43">
        <v>0.18030774074219827</v>
      </c>
      <c r="G193" s="42"/>
      <c r="H193" s="43">
        <v>0.13349900902658685</v>
      </c>
      <c r="I193" s="43">
        <v>0.18303220397151906</v>
      </c>
      <c r="J193" s="42"/>
      <c r="K193" s="43">
        <v>0.15654511770819213</v>
      </c>
      <c r="L193" s="43">
        <v>0.17312812638992975</v>
      </c>
      <c r="M193" s="43">
        <v>0.1716432852356608</v>
      </c>
    </row>
    <row r="194" spans="1:13">
      <c r="A194" s="99" t="s">
        <v>51</v>
      </c>
      <c r="B194" s="44">
        <v>655</v>
      </c>
      <c r="C194" s="44">
        <v>4841</v>
      </c>
      <c r="D194" s="12"/>
      <c r="E194" s="44">
        <v>1994</v>
      </c>
      <c r="F194" s="44">
        <v>8828</v>
      </c>
      <c r="G194" s="12"/>
      <c r="H194" s="44">
        <v>2663</v>
      </c>
      <c r="I194" s="44">
        <v>8159</v>
      </c>
      <c r="J194" s="12"/>
      <c r="K194" s="44">
        <v>2968</v>
      </c>
      <c r="L194" s="44">
        <v>5497</v>
      </c>
      <c r="M194" s="44">
        <v>2357</v>
      </c>
    </row>
    <row r="195" spans="1:13">
      <c r="A195" s="100"/>
      <c r="B195" s="43">
        <v>2.717391304347826E-2</v>
      </c>
      <c r="C195" s="43">
        <v>3.6607406175089417E-2</v>
      </c>
      <c r="D195" s="14"/>
      <c r="E195" s="43">
        <v>2.7144762993819599E-2</v>
      </c>
      <c r="F195" s="43">
        <v>3.4740860257368854E-2</v>
      </c>
      <c r="G195" s="14"/>
      <c r="H195" s="43">
        <v>2.7346758541369288E-2</v>
      </c>
      <c r="I195" s="43">
        <v>3.5444786675297255E-2</v>
      </c>
      <c r="J195" s="14"/>
      <c r="K195" s="43">
        <v>3.3527630924946906E-2</v>
      </c>
      <c r="L195" s="43">
        <v>3.3492356528785634E-2</v>
      </c>
      <c r="M195" s="43">
        <v>3.1461484042340192E-2</v>
      </c>
    </row>
    <row r="196" spans="1:13">
      <c r="A196" s="99" t="s">
        <v>52</v>
      </c>
      <c r="B196" s="44">
        <v>605</v>
      </c>
      <c r="C196" s="44">
        <v>3962</v>
      </c>
      <c r="D196" s="12"/>
      <c r="E196" s="44">
        <v>2037</v>
      </c>
      <c r="F196" s="44">
        <v>7691</v>
      </c>
      <c r="G196" s="12"/>
      <c r="H196" s="44">
        <v>2563</v>
      </c>
      <c r="I196" s="44">
        <v>7165</v>
      </c>
      <c r="J196" s="12"/>
      <c r="K196" s="44">
        <v>2683</v>
      </c>
      <c r="L196" s="44">
        <v>4832</v>
      </c>
      <c r="M196" s="44">
        <v>2213</v>
      </c>
    </row>
    <row r="197" spans="1:13">
      <c r="A197" s="100"/>
      <c r="B197" s="43">
        <v>2.5099568536342515E-2</v>
      </c>
      <c r="C197" s="43">
        <v>2.9960450994774693E-2</v>
      </c>
      <c r="D197" s="14"/>
      <c r="E197" s="43">
        <v>2.773013150371641E-2</v>
      </c>
      <c r="F197" s="43">
        <v>3.0266420054307189E-2</v>
      </c>
      <c r="G197" s="14"/>
      <c r="H197" s="43">
        <v>2.631984308731862E-2</v>
      </c>
      <c r="I197" s="43">
        <v>3.1126595971136761E-2</v>
      </c>
      <c r="J197" s="14"/>
      <c r="K197" s="43">
        <v>3.0308165017396412E-2</v>
      </c>
      <c r="L197" s="43">
        <v>2.9440616108257631E-2</v>
      </c>
      <c r="M197" s="43">
        <v>2.9539356888289708E-2</v>
      </c>
    </row>
    <row r="198" spans="1:13">
      <c r="A198" s="99" t="s">
        <v>53</v>
      </c>
      <c r="B198" s="44">
        <v>5618</v>
      </c>
      <c r="C198" s="44">
        <v>19301</v>
      </c>
      <c r="D198" s="12"/>
      <c r="E198" s="44">
        <v>15539</v>
      </c>
      <c r="F198" s="44">
        <v>40040</v>
      </c>
      <c r="G198" s="12"/>
      <c r="H198" s="44">
        <v>19677</v>
      </c>
      <c r="I198" s="44">
        <v>35902</v>
      </c>
      <c r="J198" s="12"/>
      <c r="K198" s="44">
        <v>14715</v>
      </c>
      <c r="L198" s="44">
        <v>28030</v>
      </c>
      <c r="M198" s="44">
        <v>12834</v>
      </c>
    </row>
    <row r="199" spans="1:13">
      <c r="A199" s="100"/>
      <c r="B199" s="43">
        <v>0.23307334882177233</v>
      </c>
      <c r="C199" s="43">
        <v>0.14595322176934536</v>
      </c>
      <c r="D199" s="14"/>
      <c r="E199" s="43">
        <v>0.21153584361131531</v>
      </c>
      <c r="F199" s="43">
        <v>0.15756955649128329</v>
      </c>
      <c r="G199" s="14"/>
      <c r="H199" s="43">
        <v>0.20206615389354995</v>
      </c>
      <c r="I199" s="43">
        <v>0.15596748758628778</v>
      </c>
      <c r="J199" s="14"/>
      <c r="K199" s="43">
        <v>0.1662261081740545</v>
      </c>
      <c r="L199" s="43">
        <v>0.17078238193593986</v>
      </c>
      <c r="M199" s="43">
        <v>0.17130958260474927</v>
      </c>
    </row>
    <row r="200" spans="1:13">
      <c r="A200" s="99" t="s">
        <v>54</v>
      </c>
      <c r="B200" s="44">
        <v>5875</v>
      </c>
      <c r="C200" s="44">
        <v>24856</v>
      </c>
      <c r="D200" s="12"/>
      <c r="E200" s="44">
        <v>15669</v>
      </c>
      <c r="F200" s="44">
        <v>47786</v>
      </c>
      <c r="G200" s="12"/>
      <c r="H200" s="44">
        <v>20854</v>
      </c>
      <c r="I200" s="44">
        <v>42601</v>
      </c>
      <c r="J200" s="12"/>
      <c r="K200" s="44">
        <v>18793</v>
      </c>
      <c r="L200" s="44">
        <v>32079</v>
      </c>
      <c r="M200" s="44">
        <v>12583</v>
      </c>
    </row>
    <row r="201" spans="1:13">
      <c r="A201" s="100"/>
      <c r="B201" s="43">
        <v>0.24373547958845004</v>
      </c>
      <c r="C201" s="43">
        <v>0.1879598611625744</v>
      </c>
      <c r="D201" s="14"/>
      <c r="E201" s="43">
        <v>0.21330556236216613</v>
      </c>
      <c r="F201" s="43">
        <v>0.18805241824406754</v>
      </c>
      <c r="G201" s="14"/>
      <c r="H201" s="43">
        <v>0.21415294878772631</v>
      </c>
      <c r="I201" s="43">
        <v>0.18506966014883422</v>
      </c>
      <c r="J201" s="14"/>
      <c r="K201" s="43">
        <v>0.21229271158104018</v>
      </c>
      <c r="L201" s="43">
        <v>0.19545230218062842</v>
      </c>
      <c r="M201" s="43">
        <v>0.16795920819039736</v>
      </c>
    </row>
    <row r="203" spans="1:13">
      <c r="A203" s="16" t="s">
        <v>55</v>
      </c>
      <c r="B203" s="16"/>
      <c r="C203" s="16"/>
      <c r="D203" s="16"/>
      <c r="E203" s="16"/>
      <c r="F203" s="16"/>
    </row>
    <row r="204" spans="1:13" s="23" customFormat="1" ht="28.9">
      <c r="A204" s="17"/>
      <c r="B204" s="18" t="s">
        <v>56</v>
      </c>
      <c r="C204" s="19" t="s">
        <v>57</v>
      </c>
      <c r="D204" s="20"/>
      <c r="E204" s="21" t="s">
        <v>58</v>
      </c>
      <c r="F204" s="65" t="s">
        <v>59</v>
      </c>
      <c r="G204" s="22"/>
    </row>
    <row r="205" spans="1:13">
      <c r="A205" s="98" t="s">
        <v>25</v>
      </c>
      <c r="B205" s="44">
        <v>392701</v>
      </c>
      <c r="C205" s="44">
        <v>114932</v>
      </c>
      <c r="D205" s="12"/>
      <c r="E205" s="44">
        <v>180128</v>
      </c>
      <c r="F205" s="44">
        <v>667870</v>
      </c>
      <c r="G205" s="24"/>
    </row>
    <row r="206" spans="1:13">
      <c r="A206" s="118"/>
      <c r="B206" s="43">
        <v>0.52760125430933724</v>
      </c>
      <c r="C206" s="43">
        <v>0.51977442010862929</v>
      </c>
      <c r="D206" s="14"/>
      <c r="E206" s="43">
        <v>0.58250304788329765</v>
      </c>
      <c r="F206" s="43">
        <v>0.64714831107924264</v>
      </c>
      <c r="G206" s="25"/>
    </row>
    <row r="207" spans="1:13">
      <c r="A207" s="98" t="s">
        <v>26</v>
      </c>
      <c r="B207" s="44">
        <v>229845</v>
      </c>
      <c r="C207" s="44">
        <v>70768</v>
      </c>
      <c r="D207" s="12"/>
      <c r="E207" s="44">
        <v>124281</v>
      </c>
      <c r="F207" s="44">
        <v>504156</v>
      </c>
      <c r="G207" s="24"/>
    </row>
    <row r="208" spans="1:13">
      <c r="A208" s="118"/>
      <c r="B208" s="43">
        <v>0.30880112425669809</v>
      </c>
      <c r="C208" s="43">
        <v>0.32004486272097832</v>
      </c>
      <c r="D208" s="14"/>
      <c r="E208" s="43">
        <v>0.40190343141534968</v>
      </c>
      <c r="F208" s="43">
        <v>0.48851378849247107</v>
      </c>
      <c r="G208" s="25"/>
    </row>
    <row r="209" spans="1:7">
      <c r="A209" s="98" t="s">
        <v>27</v>
      </c>
      <c r="B209" s="44">
        <v>162856</v>
      </c>
      <c r="C209" s="44">
        <v>44164</v>
      </c>
      <c r="D209" s="12"/>
      <c r="E209" s="44">
        <v>55847</v>
      </c>
      <c r="F209" s="44">
        <v>163714</v>
      </c>
      <c r="G209" s="24"/>
    </row>
    <row r="210" spans="1:7">
      <c r="A210" s="118"/>
      <c r="B210" s="43">
        <v>0.21880013005263907</v>
      </c>
      <c r="C210" s="43">
        <v>0.199729557387651</v>
      </c>
      <c r="D210" s="14"/>
      <c r="E210" s="43">
        <v>0.18059961646794792</v>
      </c>
      <c r="F210" s="43">
        <v>0.15863452258677158</v>
      </c>
      <c r="G210" s="25"/>
    </row>
    <row r="211" spans="1:7">
      <c r="A211" s="98" t="s">
        <v>28</v>
      </c>
      <c r="B211" s="44">
        <v>343989</v>
      </c>
      <c r="C211" s="44">
        <v>96894</v>
      </c>
      <c r="D211" s="12"/>
      <c r="E211" s="44">
        <v>150655</v>
      </c>
      <c r="F211" s="44">
        <v>529483</v>
      </c>
      <c r="G211" s="24"/>
    </row>
    <row r="212" spans="1:7">
      <c r="A212" s="118"/>
      <c r="B212" s="43">
        <v>0.46215575684455756</v>
      </c>
      <c r="C212" s="43">
        <v>0.43819843613619813</v>
      </c>
      <c r="D212" s="14"/>
      <c r="E212" s="43">
        <v>0.48719242249321704</v>
      </c>
      <c r="F212" s="43">
        <v>0.51305497955465984</v>
      </c>
      <c r="G212" s="25"/>
    </row>
    <row r="213" spans="1:7">
      <c r="A213" s="98" t="s">
        <v>29</v>
      </c>
      <c r="B213" s="44">
        <v>48712</v>
      </c>
      <c r="C213" s="44">
        <v>18038</v>
      </c>
      <c r="D213" s="12"/>
      <c r="E213" s="44">
        <v>29473</v>
      </c>
      <c r="F213" s="44">
        <v>138387</v>
      </c>
      <c r="G213" s="24"/>
    </row>
    <row r="214" spans="1:7">
      <c r="A214" s="118"/>
      <c r="B214" s="43">
        <v>6.5445497464779651E-2</v>
      </c>
      <c r="C214" s="43">
        <v>8.157598397243114E-2</v>
      </c>
      <c r="D214" s="14"/>
      <c r="E214" s="43">
        <v>9.5310625390080561E-2</v>
      </c>
      <c r="F214" s="43">
        <v>0.13409333152458286</v>
      </c>
      <c r="G214" s="25"/>
    </row>
    <row r="215" spans="1:7">
      <c r="A215" s="98" t="s">
        <v>30</v>
      </c>
      <c r="B215" s="44">
        <v>349838</v>
      </c>
      <c r="C215" s="44">
        <v>99219</v>
      </c>
      <c r="D215" s="12"/>
      <c r="E215" s="44">
        <v>149012</v>
      </c>
      <c r="F215" s="44">
        <v>487711</v>
      </c>
      <c r="G215" s="24"/>
    </row>
    <row r="216" spans="1:7">
      <c r="A216" s="118"/>
      <c r="B216" s="43">
        <v>0.47001399946796646</v>
      </c>
      <c r="C216" s="43">
        <v>0.44871313636548643</v>
      </c>
      <c r="D216" s="14"/>
      <c r="E216" s="43">
        <v>0.48187924237867485</v>
      </c>
      <c r="F216" s="43">
        <v>0.47257901978643824</v>
      </c>
      <c r="G216" s="25"/>
    </row>
    <row r="217" spans="1:7">
      <c r="A217" s="98" t="s">
        <v>31</v>
      </c>
      <c r="B217" s="44">
        <v>42863</v>
      </c>
      <c r="C217" s="44">
        <v>15713</v>
      </c>
      <c r="D217" s="12"/>
      <c r="E217" s="44">
        <v>31116</v>
      </c>
      <c r="F217" s="44">
        <v>180159</v>
      </c>
      <c r="G217" s="24"/>
    </row>
    <row r="218" spans="1:7">
      <c r="A218" s="118"/>
      <c r="B218" s="43">
        <v>5.7587254841370714E-2</v>
      </c>
      <c r="C218" s="43">
        <v>7.1061283743142828E-2</v>
      </c>
      <c r="D218" s="14"/>
      <c r="E218" s="43">
        <v>0.10062380550462276</v>
      </c>
      <c r="F218" s="43">
        <v>0.17456929129280441</v>
      </c>
      <c r="G218" s="25"/>
    </row>
    <row r="220" spans="1:7" ht="14.45" customHeight="1">
      <c r="A220" s="16" t="s">
        <v>60</v>
      </c>
      <c r="B220" s="16"/>
      <c r="C220" s="16"/>
      <c r="D220" s="16"/>
      <c r="E220" s="16"/>
      <c r="F220" s="16"/>
    </row>
    <row r="221" spans="1:7" s="23" customFormat="1" ht="28.9">
      <c r="A221" s="17"/>
      <c r="B221" s="18" t="s">
        <v>56</v>
      </c>
      <c r="C221" s="19" t="s">
        <v>57</v>
      </c>
      <c r="D221" s="20"/>
      <c r="E221" s="21" t="s">
        <v>58</v>
      </c>
      <c r="F221" s="65" t="s">
        <v>59</v>
      </c>
      <c r="G221" s="22"/>
    </row>
    <row r="222" spans="1:7">
      <c r="A222" s="98" t="s">
        <v>25</v>
      </c>
      <c r="B222" s="44">
        <v>309106</v>
      </c>
      <c r="C222" s="44">
        <v>107595</v>
      </c>
      <c r="D222" s="12"/>
      <c r="E222" s="44">
        <v>155876</v>
      </c>
      <c r="F222" s="44">
        <v>676352</v>
      </c>
      <c r="G222" s="24"/>
    </row>
    <row r="223" spans="1:7">
      <c r="A223" s="118"/>
      <c r="B223" s="43">
        <v>0.78313369005634603</v>
      </c>
      <c r="C223" s="43">
        <v>0.80170332618025753</v>
      </c>
      <c r="D223" s="14"/>
      <c r="E223" s="43">
        <v>0.85404019373643958</v>
      </c>
      <c r="F223" s="43">
        <v>0.88161601099100206</v>
      </c>
      <c r="G223" s="25"/>
    </row>
    <row r="224" spans="1:7">
      <c r="A224" s="98" t="s">
        <v>26</v>
      </c>
      <c r="B224" s="44">
        <v>199010</v>
      </c>
      <c r="C224" s="44">
        <v>69303</v>
      </c>
      <c r="D224" s="12"/>
      <c r="E224" s="44">
        <v>113891</v>
      </c>
      <c r="F224" s="44">
        <v>535459</v>
      </c>
      <c r="G224" s="24"/>
    </row>
    <row r="225" spans="1:7">
      <c r="A225" s="118"/>
      <c r="B225" s="43">
        <v>0.85479153154623588</v>
      </c>
      <c r="C225" s="43">
        <v>0.87571235421220894</v>
      </c>
      <c r="D225" s="14"/>
      <c r="E225" s="43">
        <v>0.90926582359328101</v>
      </c>
      <c r="F225" s="43">
        <v>0.92875367497203121</v>
      </c>
      <c r="G225" s="25"/>
    </row>
    <row r="226" spans="1:7">
      <c r="A226" s="98" t="s">
        <v>27</v>
      </c>
      <c r="B226" s="44">
        <v>110096</v>
      </c>
      <c r="C226" s="44">
        <v>38292</v>
      </c>
      <c r="D226" s="12"/>
      <c r="E226" s="44">
        <v>41985</v>
      </c>
      <c r="F226" s="44">
        <v>140893</v>
      </c>
      <c r="G226" s="24"/>
    </row>
    <row r="227" spans="1:7">
      <c r="A227" s="118"/>
      <c r="B227" s="43">
        <v>0.68007931458362936</v>
      </c>
      <c r="C227" s="43">
        <v>0.69534583885670709</v>
      </c>
      <c r="D227" s="14"/>
      <c r="E227" s="43">
        <v>0.73323436954243804</v>
      </c>
      <c r="F227" s="43">
        <v>0.73906041817476054</v>
      </c>
      <c r="G227" s="25"/>
    </row>
    <row r="228" spans="1:7">
      <c r="A228" s="98" t="s">
        <v>28</v>
      </c>
      <c r="B228" s="44">
        <v>265673</v>
      </c>
      <c r="C228" s="44">
        <v>91020</v>
      </c>
      <c r="D228" s="12"/>
      <c r="E228" s="44">
        <v>129407</v>
      </c>
      <c r="F228" s="44">
        <v>525727</v>
      </c>
      <c r="G228" s="24"/>
    </row>
    <row r="229" spans="1:7">
      <c r="A229" s="118"/>
      <c r="B229" s="43">
        <v>0.77501553397491807</v>
      </c>
      <c r="C229" s="43">
        <v>0.78944629475437134</v>
      </c>
      <c r="D229" s="14"/>
      <c r="E229" s="43">
        <v>0.8444506799613688</v>
      </c>
      <c r="F229" s="43">
        <v>0.8687419339380229</v>
      </c>
      <c r="G229" s="25"/>
    </row>
    <row r="230" spans="1:7">
      <c r="A230" s="98" t="s">
        <v>29</v>
      </c>
      <c r="B230" s="44">
        <v>43433</v>
      </c>
      <c r="C230" s="44">
        <v>16575</v>
      </c>
      <c r="D230" s="12"/>
      <c r="E230" s="44">
        <v>26469</v>
      </c>
      <c r="F230" s="44">
        <v>150625</v>
      </c>
      <c r="G230" s="24"/>
    </row>
    <row r="231" spans="1:7">
      <c r="A231" s="118"/>
      <c r="B231" s="43">
        <v>0.83674648891286341</v>
      </c>
      <c r="C231" s="43">
        <v>0.87642766497461932</v>
      </c>
      <c r="D231" s="14"/>
      <c r="E231" s="43">
        <v>0.90424296255807601</v>
      </c>
      <c r="F231" s="43">
        <v>0.92970360586122192</v>
      </c>
      <c r="G231" s="25"/>
    </row>
    <row r="232" spans="1:7">
      <c r="A232" s="98" t="s">
        <v>30</v>
      </c>
      <c r="B232" s="44">
        <v>272631</v>
      </c>
      <c r="C232" s="44">
        <v>93682</v>
      </c>
      <c r="D232" s="12"/>
      <c r="E232" s="44">
        <v>126453</v>
      </c>
      <c r="F232" s="44">
        <v>483495</v>
      </c>
      <c r="G232" s="24"/>
    </row>
    <row r="233" spans="1:7">
      <c r="A233" s="118"/>
      <c r="B233" s="43">
        <v>0.77621565294635153</v>
      </c>
      <c r="C233" s="43">
        <v>0.79512816160244437</v>
      </c>
      <c r="D233" s="14"/>
      <c r="E233" s="43">
        <v>0.84301437990413397</v>
      </c>
      <c r="F233" s="43">
        <v>0.86115108682487551</v>
      </c>
      <c r="G233" s="25"/>
    </row>
    <row r="234" spans="1:7">
      <c r="A234" s="98" t="s">
        <v>31</v>
      </c>
      <c r="B234" s="44">
        <v>36475</v>
      </c>
      <c r="C234" s="44">
        <v>13913</v>
      </c>
      <c r="D234" s="12"/>
      <c r="E234" s="44">
        <v>29423</v>
      </c>
      <c r="F234" s="44">
        <v>192857</v>
      </c>
      <c r="G234" s="24"/>
    </row>
    <row r="235" spans="1:7">
      <c r="A235" s="118"/>
      <c r="B235" s="43">
        <v>0.83902652220918728</v>
      </c>
      <c r="C235" s="43">
        <v>0.84897485965340491</v>
      </c>
      <c r="D235" s="14"/>
      <c r="E235" s="43">
        <v>0.90490542826387821</v>
      </c>
      <c r="F235" s="43">
        <v>0.93746870761857082</v>
      </c>
      <c r="G235" s="25"/>
    </row>
    <row r="237" spans="1:7" ht="14.45" customHeight="1">
      <c r="A237" s="16" t="s">
        <v>61</v>
      </c>
      <c r="B237" s="16"/>
      <c r="C237" s="16"/>
      <c r="D237" s="16"/>
      <c r="E237" s="16"/>
      <c r="F237" s="16"/>
    </row>
    <row r="238" spans="1:7" s="23" customFormat="1" ht="28.9">
      <c r="A238" s="17"/>
      <c r="B238" s="18" t="s">
        <v>56</v>
      </c>
      <c r="C238" s="19" t="s">
        <v>57</v>
      </c>
      <c r="D238" s="20"/>
      <c r="E238" s="21" t="s">
        <v>58</v>
      </c>
      <c r="F238" s="65" t="s">
        <v>59</v>
      </c>
      <c r="G238" s="22"/>
    </row>
    <row r="239" spans="1:7">
      <c r="A239" s="98" t="s">
        <v>25</v>
      </c>
      <c r="B239" s="44">
        <v>175512</v>
      </c>
      <c r="C239" s="44">
        <v>61391</v>
      </c>
      <c r="D239" s="12"/>
      <c r="E239" s="44">
        <v>110825</v>
      </c>
      <c r="F239" s="44">
        <v>599516</v>
      </c>
      <c r="G239" s="24"/>
    </row>
    <row r="240" spans="1:7">
      <c r="A240" s="118"/>
      <c r="B240" s="43">
        <v>0.27446607878123502</v>
      </c>
      <c r="C240" s="43">
        <v>0.29954427464527589</v>
      </c>
      <c r="D240" s="14"/>
      <c r="E240" s="43">
        <v>0.39210517936180528</v>
      </c>
      <c r="F240" s="43">
        <v>0.49879775892279199</v>
      </c>
      <c r="G240" s="25"/>
    </row>
    <row r="241" spans="1:7">
      <c r="A241" s="98" t="s">
        <v>26</v>
      </c>
      <c r="B241" s="44">
        <v>119379</v>
      </c>
      <c r="C241" s="44">
        <v>40072</v>
      </c>
      <c r="D241" s="12"/>
      <c r="E241" s="44">
        <v>86592</v>
      </c>
      <c r="F241" s="44">
        <v>488685</v>
      </c>
      <c r="G241" s="24"/>
    </row>
    <row r="242" spans="1:7">
      <c r="A242" s="118"/>
      <c r="B242" s="43">
        <v>0.18668516123584172</v>
      </c>
      <c r="C242" s="43">
        <v>0.19552276675059038</v>
      </c>
      <c r="D242" s="14"/>
      <c r="E242" s="43">
        <v>0.30636744138323879</v>
      </c>
      <c r="F242" s="43">
        <v>0.40658628430131072</v>
      </c>
      <c r="G242" s="25"/>
    </row>
    <row r="243" spans="1:7">
      <c r="A243" s="98" t="s">
        <v>27</v>
      </c>
      <c r="B243" s="44">
        <v>55976</v>
      </c>
      <c r="C243" s="44">
        <v>21315</v>
      </c>
      <c r="D243" s="12"/>
      <c r="E243" s="44">
        <v>24223</v>
      </c>
      <c r="F243" s="44">
        <v>110828</v>
      </c>
      <c r="G243" s="24"/>
    </row>
    <row r="244" spans="1:7">
      <c r="A244" s="118"/>
      <c r="B244" s="43">
        <v>8.7535400575792024E-2</v>
      </c>
      <c r="C244" s="43">
        <v>0.10400199074887288</v>
      </c>
      <c r="D244" s="14"/>
      <c r="E244" s="43">
        <v>8.5702357407453272E-2</v>
      </c>
      <c r="F244" s="43">
        <v>9.2208978619244847E-2</v>
      </c>
      <c r="G244" s="25"/>
    </row>
    <row r="245" spans="1:7">
      <c r="A245" s="98" t="s">
        <v>28</v>
      </c>
      <c r="B245" s="44">
        <v>146926</v>
      </c>
      <c r="C245" s="44">
        <v>50755</v>
      </c>
      <c r="D245" s="12"/>
      <c r="E245" s="44">
        <v>89807</v>
      </c>
      <c r="F245" s="44">
        <v>454211</v>
      </c>
      <c r="G245" s="24"/>
    </row>
    <row r="246" spans="1:7">
      <c r="A246" s="118"/>
      <c r="B246" s="43">
        <v>0.22976322468555843</v>
      </c>
      <c r="C246" s="43">
        <v>0.24764818392958213</v>
      </c>
      <c r="D246" s="14"/>
      <c r="E246" s="43">
        <v>0.31774229499612583</v>
      </c>
      <c r="F246" s="43">
        <v>0.37790389060188601</v>
      </c>
      <c r="G246" s="25"/>
    </row>
    <row r="247" spans="1:7">
      <c r="A247" s="98" t="s">
        <v>29</v>
      </c>
      <c r="B247" s="44">
        <v>28586</v>
      </c>
      <c r="C247" s="44">
        <v>10636</v>
      </c>
      <c r="D247" s="12"/>
      <c r="E247" s="44">
        <v>21018</v>
      </c>
      <c r="F247" s="44">
        <v>145305</v>
      </c>
      <c r="G247" s="24"/>
    </row>
    <row r="248" spans="1:7">
      <c r="A248" s="118"/>
      <c r="B248" s="43">
        <v>4.4702854095676557E-2</v>
      </c>
      <c r="C248" s="43">
        <v>5.1896090715693739E-2</v>
      </c>
      <c r="D248" s="14"/>
      <c r="E248" s="43">
        <v>7.4362884365679435E-2</v>
      </c>
      <c r="F248" s="43">
        <v>0.12089386832090601</v>
      </c>
      <c r="G248" s="25"/>
    </row>
    <row r="249" spans="1:7">
      <c r="A249" s="98" t="s">
        <v>30</v>
      </c>
      <c r="B249" s="44">
        <v>152736</v>
      </c>
      <c r="C249" s="44">
        <v>52854</v>
      </c>
      <c r="D249" s="12"/>
      <c r="E249" s="44">
        <v>88552</v>
      </c>
      <c r="F249" s="44">
        <v>430305</v>
      </c>
      <c r="G249" s="24"/>
    </row>
    <row r="250" spans="1:7">
      <c r="A250" s="118"/>
      <c r="B250" s="43">
        <v>0.23884891636315869</v>
      </c>
      <c r="C250" s="43">
        <v>0.25788980619474206</v>
      </c>
      <c r="D250" s="14"/>
      <c r="E250" s="43">
        <v>0.31330203332142187</v>
      </c>
      <c r="F250" s="43">
        <v>0.35801408078061636</v>
      </c>
      <c r="G250" s="25"/>
    </row>
    <row r="251" spans="1:7">
      <c r="A251" s="98" t="s">
        <v>31</v>
      </c>
      <c r="B251" s="44">
        <v>22776</v>
      </c>
      <c r="C251" s="44">
        <v>8537</v>
      </c>
      <c r="D251" s="12"/>
      <c r="E251" s="44">
        <v>22273</v>
      </c>
      <c r="F251" s="44">
        <v>169211</v>
      </c>
      <c r="G251" s="24"/>
    </row>
    <row r="252" spans="1:7">
      <c r="A252" s="118"/>
      <c r="B252" s="43">
        <v>3.5617162418076304E-2</v>
      </c>
      <c r="C252" s="43">
        <v>4.1654468450533791E-2</v>
      </c>
      <c r="D252" s="14"/>
      <c r="E252" s="43">
        <v>7.8803146040383382E-2</v>
      </c>
      <c r="F252" s="43">
        <v>0.14078367814217563</v>
      </c>
      <c r="G252" s="25"/>
    </row>
  </sheetData>
  <mergeCells count="103">
    <mergeCell ref="A17:A18"/>
    <mergeCell ref="A22:A23"/>
    <mergeCell ref="A24:A25"/>
    <mergeCell ref="A26:A27"/>
    <mergeCell ref="A28:A29"/>
    <mergeCell ref="A30:A31"/>
    <mergeCell ref="A5:A6"/>
    <mergeCell ref="A7:A8"/>
    <mergeCell ref="A9:A10"/>
    <mergeCell ref="A11:A12"/>
    <mergeCell ref="A13:A14"/>
    <mergeCell ref="A15:A16"/>
    <mergeCell ref="A47:A48"/>
    <mergeCell ref="A49:A50"/>
    <mergeCell ref="A51:A52"/>
    <mergeCell ref="A56:A57"/>
    <mergeCell ref="A58:A59"/>
    <mergeCell ref="A60:A61"/>
    <mergeCell ref="A32:A33"/>
    <mergeCell ref="A34:A35"/>
    <mergeCell ref="A39:A40"/>
    <mergeCell ref="A41:A42"/>
    <mergeCell ref="A43:A44"/>
    <mergeCell ref="A45:A46"/>
    <mergeCell ref="A77:A78"/>
    <mergeCell ref="A79:A80"/>
    <mergeCell ref="A81:A82"/>
    <mergeCell ref="A83:A84"/>
    <mergeCell ref="A85:A86"/>
    <mergeCell ref="A90:A91"/>
    <mergeCell ref="A62:A63"/>
    <mergeCell ref="A64:A65"/>
    <mergeCell ref="A66:A67"/>
    <mergeCell ref="A68:A69"/>
    <mergeCell ref="A73:A74"/>
    <mergeCell ref="A75:A76"/>
    <mergeCell ref="A107:A108"/>
    <mergeCell ref="A109:A110"/>
    <mergeCell ref="A111:A112"/>
    <mergeCell ref="A113:A114"/>
    <mergeCell ref="A115:A116"/>
    <mergeCell ref="A117:A118"/>
    <mergeCell ref="A92:A93"/>
    <mergeCell ref="A94:A95"/>
    <mergeCell ref="A96:A97"/>
    <mergeCell ref="A98:A99"/>
    <mergeCell ref="A100:A101"/>
    <mergeCell ref="A102:A103"/>
    <mergeCell ref="A134:A135"/>
    <mergeCell ref="A136:A137"/>
    <mergeCell ref="A141:A142"/>
    <mergeCell ref="A143:A144"/>
    <mergeCell ref="A145:A146"/>
    <mergeCell ref="A147:A148"/>
    <mergeCell ref="A119:A120"/>
    <mergeCell ref="A124:A125"/>
    <mergeCell ref="A126:A127"/>
    <mergeCell ref="A128:A129"/>
    <mergeCell ref="A130:A131"/>
    <mergeCell ref="A132:A133"/>
    <mergeCell ref="A164:A165"/>
    <mergeCell ref="A166:A167"/>
    <mergeCell ref="A168:A169"/>
    <mergeCell ref="A170:A171"/>
    <mergeCell ref="A175:A176"/>
    <mergeCell ref="A177:A178"/>
    <mergeCell ref="A149:A150"/>
    <mergeCell ref="A151:A152"/>
    <mergeCell ref="A153:A154"/>
    <mergeCell ref="A158:A159"/>
    <mergeCell ref="A160:A161"/>
    <mergeCell ref="A162:A163"/>
    <mergeCell ref="A194:A195"/>
    <mergeCell ref="A196:A197"/>
    <mergeCell ref="A198:A199"/>
    <mergeCell ref="A200:A201"/>
    <mergeCell ref="A205:A206"/>
    <mergeCell ref="A207:A208"/>
    <mergeCell ref="A179:A180"/>
    <mergeCell ref="A181:A182"/>
    <mergeCell ref="A186:A187"/>
    <mergeCell ref="A188:A189"/>
    <mergeCell ref="A190:A191"/>
    <mergeCell ref="A192:A193"/>
    <mergeCell ref="A241:A242"/>
    <mergeCell ref="A243:A244"/>
    <mergeCell ref="A245:A246"/>
    <mergeCell ref="A247:A248"/>
    <mergeCell ref="A249:A250"/>
    <mergeCell ref="A251:A252"/>
    <mergeCell ref="A209:A210"/>
    <mergeCell ref="A211:A212"/>
    <mergeCell ref="A213:A214"/>
    <mergeCell ref="A215:A216"/>
    <mergeCell ref="A217:A218"/>
    <mergeCell ref="A239:A240"/>
    <mergeCell ref="A222:A223"/>
    <mergeCell ref="A224:A225"/>
    <mergeCell ref="A226:A227"/>
    <mergeCell ref="A228:A229"/>
    <mergeCell ref="A230:A231"/>
    <mergeCell ref="A232:A233"/>
    <mergeCell ref="A234:A2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1AAF5-FA94-4E81-9866-C39A304FC1D8}">
  <dimension ref="A1:I146"/>
  <sheetViews>
    <sheetView topLeftCell="A57" workbookViewId="0">
      <selection activeCell="G102" sqref="G102"/>
    </sheetView>
  </sheetViews>
  <sheetFormatPr defaultColWidth="8.85546875" defaultRowHeight="14.45"/>
  <cols>
    <col min="1" max="1" width="16.7109375" customWidth="1"/>
    <col min="2" max="2" width="58.85546875" bestFit="1" customWidth="1"/>
    <col min="3" max="4" width="10.7109375" style="26" customWidth="1"/>
    <col min="6" max="6" width="16.7109375" customWidth="1"/>
    <col min="7" max="7" width="58.85546875" bestFit="1" customWidth="1"/>
    <col min="8" max="9" width="10.7109375" style="26" customWidth="1"/>
  </cols>
  <sheetData>
    <row r="1" spans="1:9" ht="21">
      <c r="A1" s="1" t="s">
        <v>62</v>
      </c>
    </row>
    <row r="2" spans="1:9" ht="15" customHeight="1">
      <c r="A2" s="1"/>
    </row>
    <row r="3" spans="1:9" ht="18">
      <c r="A3" s="108" t="s">
        <v>63</v>
      </c>
      <c r="B3" s="108"/>
      <c r="C3" s="108"/>
      <c r="D3" s="108"/>
      <c r="F3" s="108" t="s">
        <v>64</v>
      </c>
      <c r="G3" s="108"/>
      <c r="H3" s="108"/>
      <c r="I3" s="108"/>
    </row>
    <row r="4" spans="1:9" ht="14.45" customHeight="1">
      <c r="A4" s="3" t="s">
        <v>65</v>
      </c>
      <c r="B4" s="3"/>
      <c r="C4" s="3"/>
      <c r="D4" s="3"/>
      <c r="F4" s="3" t="s">
        <v>66</v>
      </c>
      <c r="G4" s="3"/>
      <c r="H4" s="3"/>
      <c r="I4" s="3"/>
    </row>
    <row r="5" spans="1:9" s="2" customFormat="1">
      <c r="A5" s="27"/>
      <c r="B5" s="28" t="s">
        <v>67</v>
      </c>
      <c r="C5" s="29" t="s">
        <v>68</v>
      </c>
      <c r="D5" s="29" t="s">
        <v>69</v>
      </c>
      <c r="F5" s="27"/>
      <c r="G5" s="29" t="s">
        <v>67</v>
      </c>
      <c r="H5" s="29" t="s">
        <v>68</v>
      </c>
      <c r="I5" s="29" t="s">
        <v>69</v>
      </c>
    </row>
    <row r="6" spans="1:9">
      <c r="A6" s="106" t="s">
        <v>16</v>
      </c>
      <c r="B6" s="30" t="s">
        <v>70</v>
      </c>
      <c r="C6" s="70" t="s">
        <v>71</v>
      </c>
      <c r="D6" s="31">
        <v>0.221155095391811</v>
      </c>
      <c r="E6" s="32"/>
      <c r="F6" s="105" t="s">
        <v>16</v>
      </c>
      <c r="G6" s="30" t="s">
        <v>70</v>
      </c>
      <c r="H6" s="70" t="s">
        <v>72</v>
      </c>
      <c r="I6" s="31">
        <v>0.14147568603014146</v>
      </c>
    </row>
    <row r="7" spans="1:9">
      <c r="A7" s="119"/>
      <c r="B7" s="30" t="s">
        <v>73</v>
      </c>
      <c r="C7" s="70" t="s">
        <v>74</v>
      </c>
      <c r="D7" s="31">
        <v>0.11345079501504082</v>
      </c>
      <c r="E7" s="32"/>
      <c r="F7" s="120"/>
      <c r="G7" s="30" t="s">
        <v>75</v>
      </c>
      <c r="H7" s="70" t="s">
        <v>76</v>
      </c>
      <c r="I7" s="31">
        <v>0.12614338356912613</v>
      </c>
    </row>
    <row r="8" spans="1:9">
      <c r="A8" s="119"/>
      <c r="B8" s="30" t="s">
        <v>75</v>
      </c>
      <c r="C8" s="70" t="s">
        <v>77</v>
      </c>
      <c r="D8" s="31">
        <v>8.4228620541469706E-2</v>
      </c>
      <c r="E8" s="32"/>
      <c r="F8" s="120"/>
      <c r="G8" s="30" t="s">
        <v>73</v>
      </c>
      <c r="H8" s="70" t="s">
        <v>78</v>
      </c>
      <c r="I8" s="31">
        <v>0.10567979874910569</v>
      </c>
    </row>
    <row r="9" spans="1:9">
      <c r="A9" s="119"/>
      <c r="B9" s="30" t="s">
        <v>79</v>
      </c>
      <c r="C9" s="70" t="s">
        <v>80</v>
      </c>
      <c r="D9" s="31">
        <v>3.6977443759306824E-2</v>
      </c>
      <c r="E9" s="32"/>
      <c r="F9" s="120"/>
      <c r="G9" s="30" t="s">
        <v>81</v>
      </c>
      <c r="H9" s="70" t="s">
        <v>82</v>
      </c>
      <c r="I9" s="31">
        <v>8.3754529299083752E-2</v>
      </c>
    </row>
    <row r="10" spans="1:9">
      <c r="A10" s="121"/>
      <c r="B10" s="30" t="s">
        <v>83</v>
      </c>
      <c r="C10" s="70" t="s">
        <v>84</v>
      </c>
      <c r="D10" s="31">
        <v>3.4928693496966853E-2</v>
      </c>
      <c r="E10" s="32"/>
      <c r="F10" s="120"/>
      <c r="G10" s="30" t="s">
        <v>50</v>
      </c>
      <c r="H10" s="70" t="s">
        <v>85</v>
      </c>
      <c r="I10" s="31">
        <v>6.3460192173063465E-2</v>
      </c>
    </row>
    <row r="11" spans="1:9">
      <c r="A11" s="107" t="s">
        <v>17</v>
      </c>
      <c r="B11" s="10" t="s">
        <v>70</v>
      </c>
      <c r="C11" s="71" t="s">
        <v>86</v>
      </c>
      <c r="D11" s="33">
        <v>0.33754250528444074</v>
      </c>
      <c r="E11" s="32"/>
      <c r="F11" s="98" t="s">
        <v>17</v>
      </c>
      <c r="G11" s="10" t="s">
        <v>75</v>
      </c>
      <c r="H11" s="71" t="s">
        <v>87</v>
      </c>
      <c r="I11" s="33">
        <v>0.16661943773605653</v>
      </c>
    </row>
    <row r="12" spans="1:9">
      <c r="A12" s="122"/>
      <c r="B12" s="10" t="s">
        <v>75</v>
      </c>
      <c r="C12" s="71" t="s">
        <v>88</v>
      </c>
      <c r="D12" s="33">
        <v>0.1162576969028582</v>
      </c>
      <c r="E12" s="32"/>
      <c r="F12" s="118"/>
      <c r="G12" s="10" t="s">
        <v>70</v>
      </c>
      <c r="H12" s="71" t="s">
        <v>89</v>
      </c>
      <c r="I12" s="33">
        <v>0.1606770513921256</v>
      </c>
    </row>
    <row r="13" spans="1:9">
      <c r="A13" s="122"/>
      <c r="B13" s="10" t="s">
        <v>73</v>
      </c>
      <c r="C13" s="71" t="s">
        <v>90</v>
      </c>
      <c r="D13" s="33">
        <v>7.8172962043929789E-2</v>
      </c>
      <c r="E13" s="32"/>
      <c r="F13" s="118"/>
      <c r="G13" s="10" t="s">
        <v>50</v>
      </c>
      <c r="H13" s="71" t="s">
        <v>91</v>
      </c>
      <c r="I13" s="33">
        <v>9.4464910314375497E-2</v>
      </c>
    </row>
    <row r="14" spans="1:9">
      <c r="A14" s="122"/>
      <c r="B14" s="10" t="s">
        <v>83</v>
      </c>
      <c r="C14" s="71" t="s">
        <v>92</v>
      </c>
      <c r="D14" s="33">
        <v>3.1963973899457772E-2</v>
      </c>
      <c r="E14" s="32"/>
      <c r="F14" s="118"/>
      <c r="G14" s="10" t="s">
        <v>81</v>
      </c>
      <c r="H14" s="71" t="s">
        <v>93</v>
      </c>
      <c r="I14" s="33">
        <v>8.1573526986047029E-2</v>
      </c>
    </row>
    <row r="15" spans="1:9">
      <c r="A15" s="123"/>
      <c r="B15" s="10" t="s">
        <v>94</v>
      </c>
      <c r="C15" s="71" t="s">
        <v>95</v>
      </c>
      <c r="D15" s="33">
        <v>3.1449315320283062E-2</v>
      </c>
      <c r="E15" s="32"/>
      <c r="F15" s="118"/>
      <c r="G15" s="10" t="s">
        <v>73</v>
      </c>
      <c r="H15" s="71" t="s">
        <v>96</v>
      </c>
      <c r="I15" s="33">
        <v>7.6963419430968932E-2</v>
      </c>
    </row>
    <row r="16" spans="1:9">
      <c r="A16" s="106" t="s">
        <v>18</v>
      </c>
      <c r="B16" s="30" t="s">
        <v>70</v>
      </c>
      <c r="C16" s="70" t="s">
        <v>97</v>
      </c>
      <c r="D16" s="31">
        <v>0.25348758574050817</v>
      </c>
      <c r="E16" s="32"/>
      <c r="F16" s="105" t="s">
        <v>18</v>
      </c>
      <c r="G16" s="30" t="s">
        <v>70</v>
      </c>
      <c r="H16" s="70" t="s">
        <v>98</v>
      </c>
      <c r="I16" s="31">
        <v>0.14914524654622388</v>
      </c>
    </row>
    <row r="17" spans="1:9">
      <c r="A17" s="119"/>
      <c r="B17" s="30" t="s">
        <v>73</v>
      </c>
      <c r="C17" s="70" t="s">
        <v>99</v>
      </c>
      <c r="D17" s="31">
        <v>0.11235629407786688</v>
      </c>
      <c r="E17" s="32"/>
      <c r="F17" s="120"/>
      <c r="G17" s="30" t="s">
        <v>75</v>
      </c>
      <c r="H17" s="70" t="s">
        <v>100</v>
      </c>
      <c r="I17" s="31">
        <v>0.12114911863425733</v>
      </c>
    </row>
    <row r="18" spans="1:9">
      <c r="A18" s="119"/>
      <c r="B18" s="30" t="s">
        <v>75</v>
      </c>
      <c r="C18" s="70" t="s">
        <v>101</v>
      </c>
      <c r="D18" s="31">
        <v>8.6537532605545364E-2</v>
      </c>
      <c r="E18" s="32"/>
      <c r="F18" s="120"/>
      <c r="G18" s="30" t="s">
        <v>73</v>
      </c>
      <c r="H18" s="70" t="s">
        <v>102</v>
      </c>
      <c r="I18" s="31">
        <v>0.1038777431448407</v>
      </c>
    </row>
    <row r="19" spans="1:9">
      <c r="A19" s="119"/>
      <c r="B19" s="30" t="s">
        <v>79</v>
      </c>
      <c r="C19" s="70" t="s">
        <v>103</v>
      </c>
      <c r="D19" s="31">
        <v>3.4117476572311851E-2</v>
      </c>
      <c r="E19" s="32"/>
      <c r="F19" s="120"/>
      <c r="G19" s="30" t="s">
        <v>81</v>
      </c>
      <c r="H19" s="70" t="s">
        <v>104</v>
      </c>
      <c r="I19" s="31">
        <v>8.4666997102587044E-2</v>
      </c>
    </row>
    <row r="20" spans="1:9">
      <c r="A20" s="121"/>
      <c r="B20" s="30" t="s">
        <v>83</v>
      </c>
      <c r="C20" s="70" t="s">
        <v>105</v>
      </c>
      <c r="D20" s="31">
        <v>3.3204521302289632E-2</v>
      </c>
      <c r="E20" s="32"/>
      <c r="F20" s="120"/>
      <c r="G20" s="30" t="s">
        <v>50</v>
      </c>
      <c r="H20" s="70" t="s">
        <v>106</v>
      </c>
      <c r="I20" s="31">
        <v>6.9158685752113189E-2</v>
      </c>
    </row>
    <row r="21" spans="1:9">
      <c r="A21" s="107" t="s">
        <v>19</v>
      </c>
      <c r="B21" s="10" t="s">
        <v>70</v>
      </c>
      <c r="C21" s="71" t="s">
        <v>107</v>
      </c>
      <c r="D21" s="33">
        <v>0.32008416795332506</v>
      </c>
      <c r="E21" s="32"/>
      <c r="F21" s="98" t="s">
        <v>19</v>
      </c>
      <c r="G21" s="10" t="s">
        <v>75</v>
      </c>
      <c r="H21" s="71" t="s">
        <v>108</v>
      </c>
      <c r="I21" s="33">
        <v>0.14869748280257208</v>
      </c>
    </row>
    <row r="22" spans="1:9">
      <c r="A22" s="122"/>
      <c r="B22" s="10" t="s">
        <v>75</v>
      </c>
      <c r="C22" s="71" t="s">
        <v>109</v>
      </c>
      <c r="D22" s="33">
        <v>0.10064173509867418</v>
      </c>
      <c r="E22" s="32"/>
      <c r="F22" s="118"/>
      <c r="G22" s="10" t="s">
        <v>70</v>
      </c>
      <c r="H22" s="71" t="s">
        <v>110</v>
      </c>
      <c r="I22" s="33">
        <v>0.14618012624972751</v>
      </c>
    </row>
    <row r="23" spans="1:9">
      <c r="A23" s="122"/>
      <c r="B23" s="10" t="s">
        <v>73</v>
      </c>
      <c r="C23" s="71" t="s">
        <v>111</v>
      </c>
      <c r="D23" s="33">
        <v>9.9557753881609215E-2</v>
      </c>
      <c r="E23" s="32"/>
      <c r="F23" s="118"/>
      <c r="G23" s="10" t="s">
        <v>73</v>
      </c>
      <c r="H23" s="71" t="s">
        <v>112</v>
      </c>
      <c r="I23" s="33">
        <v>8.8476649210660729E-2</v>
      </c>
    </row>
    <row r="24" spans="1:9">
      <c r="A24" s="122"/>
      <c r="B24" s="10" t="s">
        <v>83</v>
      </c>
      <c r="C24" s="71" t="s">
        <v>113</v>
      </c>
      <c r="D24" s="33">
        <v>3.068395571162456E-2</v>
      </c>
      <c r="E24" s="32"/>
      <c r="F24" s="118"/>
      <c r="G24" s="10" t="s">
        <v>50</v>
      </c>
      <c r="H24" s="71" t="s">
        <v>114</v>
      </c>
      <c r="I24" s="33">
        <v>8.8021551881891105E-2</v>
      </c>
    </row>
    <row r="25" spans="1:9">
      <c r="A25" s="123"/>
      <c r="B25" s="10" t="s">
        <v>94</v>
      </c>
      <c r="C25" s="71" t="s">
        <v>115</v>
      </c>
      <c r="D25" s="33">
        <v>2.9941565214222927E-2</v>
      </c>
      <c r="E25" s="32"/>
      <c r="F25" s="118"/>
      <c r="G25" s="10" t="s">
        <v>81</v>
      </c>
      <c r="H25" s="71" t="s">
        <v>116</v>
      </c>
      <c r="I25" s="33">
        <v>8.3481717340003855E-2</v>
      </c>
    </row>
    <row r="26" spans="1:9">
      <c r="A26" s="106" t="s">
        <v>20</v>
      </c>
      <c r="B26" s="30" t="s">
        <v>70</v>
      </c>
      <c r="C26" s="70" t="s">
        <v>117</v>
      </c>
      <c r="D26" s="31">
        <v>0.25840523449609742</v>
      </c>
      <c r="E26" s="32"/>
      <c r="F26" s="105" t="s">
        <v>20</v>
      </c>
      <c r="G26" s="30" t="s">
        <v>70</v>
      </c>
      <c r="H26" s="70" t="s">
        <v>118</v>
      </c>
      <c r="I26" s="31">
        <v>0.15089826784816704</v>
      </c>
    </row>
    <row r="27" spans="1:9">
      <c r="A27" s="119"/>
      <c r="B27" s="30" t="s">
        <v>73</v>
      </c>
      <c r="C27" s="70" t="s">
        <v>119</v>
      </c>
      <c r="D27" s="31">
        <v>0.10756139604852243</v>
      </c>
      <c r="E27" s="32"/>
      <c r="F27" s="120"/>
      <c r="G27" s="30" t="s">
        <v>75</v>
      </c>
      <c r="H27" s="70" t="s">
        <v>120</v>
      </c>
      <c r="I27" s="31">
        <v>0.12416766913471476</v>
      </c>
    </row>
    <row r="28" spans="1:9">
      <c r="A28" s="119"/>
      <c r="B28" s="30" t="s">
        <v>75</v>
      </c>
      <c r="C28" s="70" t="s">
        <v>121</v>
      </c>
      <c r="D28" s="31">
        <v>9.1384205977970118E-2</v>
      </c>
      <c r="E28" s="32"/>
      <c r="F28" s="120"/>
      <c r="G28" s="30" t="s">
        <v>73</v>
      </c>
      <c r="H28" s="70" t="s">
        <v>122</v>
      </c>
      <c r="I28" s="31">
        <v>9.7397536470069976E-2</v>
      </c>
    </row>
    <row r="29" spans="1:9">
      <c r="A29" s="119"/>
      <c r="B29" s="30" t="s">
        <v>83</v>
      </c>
      <c r="C29" s="70" t="s">
        <v>123</v>
      </c>
      <c r="D29" s="31">
        <v>3.3799262012866767E-2</v>
      </c>
      <c r="E29" s="32"/>
      <c r="F29" s="120"/>
      <c r="G29" s="30" t="s">
        <v>81</v>
      </c>
      <c r="H29" s="70" t="s">
        <v>124</v>
      </c>
      <c r="I29" s="31">
        <v>8.7386975257394264E-2</v>
      </c>
    </row>
    <row r="30" spans="1:9">
      <c r="A30" s="121"/>
      <c r="B30" s="30" t="s">
        <v>79</v>
      </c>
      <c r="C30" s="70" t="s">
        <v>125</v>
      </c>
      <c r="D30" s="31">
        <v>3.0616863966200739E-2</v>
      </c>
      <c r="E30" s="32"/>
      <c r="F30" s="120"/>
      <c r="G30" s="30" t="s">
        <v>50</v>
      </c>
      <c r="H30" s="70" t="s">
        <v>126</v>
      </c>
      <c r="I30" s="31">
        <v>7.3863540095898073E-2</v>
      </c>
    </row>
    <row r="31" spans="1:9">
      <c r="A31" s="107" t="s">
        <v>21</v>
      </c>
      <c r="B31" s="10" t="s">
        <v>70</v>
      </c>
      <c r="C31" s="71" t="s">
        <v>127</v>
      </c>
      <c r="D31" s="33">
        <v>0.31865324854000904</v>
      </c>
      <c r="E31" s="32"/>
      <c r="F31" s="98" t="s">
        <v>21</v>
      </c>
      <c r="G31" s="10" t="s">
        <v>75</v>
      </c>
      <c r="H31" s="71" t="s">
        <v>128</v>
      </c>
      <c r="I31" s="33">
        <v>0.14940235578963482</v>
      </c>
    </row>
    <row r="32" spans="1:9">
      <c r="A32" s="122"/>
      <c r="B32" s="10" t="s">
        <v>73</v>
      </c>
      <c r="C32" s="71" t="s">
        <v>129</v>
      </c>
      <c r="D32" s="33">
        <v>0.10388304678705779</v>
      </c>
      <c r="E32" s="32"/>
      <c r="F32" s="118"/>
      <c r="G32" s="10" t="s">
        <v>70</v>
      </c>
      <c r="H32" s="71" t="s">
        <v>130</v>
      </c>
      <c r="I32" s="33">
        <v>0.14482435939358942</v>
      </c>
    </row>
    <row r="33" spans="1:9">
      <c r="A33" s="122"/>
      <c r="B33" s="10" t="s">
        <v>75</v>
      </c>
      <c r="C33" s="71" t="s">
        <v>131</v>
      </c>
      <c r="D33" s="33">
        <v>9.6335350542144912E-2</v>
      </c>
      <c r="E33" s="32"/>
      <c r="F33" s="118"/>
      <c r="G33" s="10" t="s">
        <v>73</v>
      </c>
      <c r="H33" s="71" t="s">
        <v>132</v>
      </c>
      <c r="I33" s="33">
        <v>9.1034641100388919E-2</v>
      </c>
    </row>
    <row r="34" spans="1:9">
      <c r="A34" s="122"/>
      <c r="B34" s="10" t="s">
        <v>79</v>
      </c>
      <c r="C34" s="71" t="s">
        <v>133</v>
      </c>
      <c r="D34" s="33">
        <v>3.3038609184233063E-2</v>
      </c>
      <c r="E34" s="32"/>
      <c r="F34" s="118"/>
      <c r="G34" s="10" t="s">
        <v>50</v>
      </c>
      <c r="H34" s="71" t="s">
        <v>134</v>
      </c>
      <c r="I34" s="33">
        <v>8.6879309265224622E-2</v>
      </c>
    </row>
    <row r="35" spans="1:9">
      <c r="A35" s="123"/>
      <c r="B35" s="10" t="s">
        <v>83</v>
      </c>
      <c r="C35" s="71" t="s">
        <v>135</v>
      </c>
      <c r="D35" s="33">
        <v>2.9916585689683372E-2</v>
      </c>
      <c r="E35" s="32"/>
      <c r="F35" s="118"/>
      <c r="G35" s="10" t="s">
        <v>81</v>
      </c>
      <c r="H35" s="71" t="s">
        <v>136</v>
      </c>
      <c r="I35" s="33">
        <v>8.1696015473349523E-2</v>
      </c>
    </row>
    <row r="36" spans="1:9">
      <c r="A36" s="106" t="s">
        <v>22</v>
      </c>
      <c r="B36" s="30" t="s">
        <v>70</v>
      </c>
      <c r="C36" s="70" t="s">
        <v>137</v>
      </c>
      <c r="D36" s="31">
        <v>0.2526367519752013</v>
      </c>
      <c r="E36" s="32"/>
      <c r="F36" s="105" t="s">
        <v>22</v>
      </c>
      <c r="G36" s="30" t="s">
        <v>70</v>
      </c>
      <c r="H36" s="70" t="s">
        <v>138</v>
      </c>
      <c r="I36" s="31">
        <v>0.15772033021495807</v>
      </c>
    </row>
    <row r="37" spans="1:9">
      <c r="A37" s="119"/>
      <c r="B37" s="30" t="s">
        <v>75</v>
      </c>
      <c r="C37" s="70" t="s">
        <v>139</v>
      </c>
      <c r="D37" s="31">
        <v>9.9943295656447287E-2</v>
      </c>
      <c r="E37" s="32"/>
      <c r="F37" s="120"/>
      <c r="G37" s="30" t="s">
        <v>75</v>
      </c>
      <c r="H37" s="70" t="s">
        <v>140</v>
      </c>
      <c r="I37" s="31">
        <v>0.13201363113455319</v>
      </c>
    </row>
    <row r="38" spans="1:9">
      <c r="A38" s="119"/>
      <c r="B38" s="30" t="s">
        <v>73</v>
      </c>
      <c r="C38" s="70" t="s">
        <v>141</v>
      </c>
      <c r="D38" s="31">
        <v>9.9126753109288174E-2</v>
      </c>
      <c r="E38" s="32"/>
      <c r="F38" s="120"/>
      <c r="G38" s="30" t="s">
        <v>73</v>
      </c>
      <c r="H38" s="70" t="s">
        <v>142</v>
      </c>
      <c r="I38" s="31">
        <v>8.6211137881385971E-2</v>
      </c>
    </row>
    <row r="39" spans="1:9">
      <c r="A39" s="119"/>
      <c r="B39" s="30" t="s">
        <v>83</v>
      </c>
      <c r="C39" s="70" t="s">
        <v>143</v>
      </c>
      <c r="D39" s="31">
        <v>3.2238309454504212E-2</v>
      </c>
      <c r="E39" s="32"/>
      <c r="F39" s="120"/>
      <c r="G39" s="30" t="s">
        <v>81</v>
      </c>
      <c r="H39" s="70" t="s">
        <v>144</v>
      </c>
      <c r="I39" s="31">
        <v>8.5140326886761736E-2</v>
      </c>
    </row>
    <row r="40" spans="1:9">
      <c r="A40" s="121"/>
      <c r="B40" s="30" t="s">
        <v>81</v>
      </c>
      <c r="C40" s="70" t="s">
        <v>145</v>
      </c>
      <c r="D40" s="31">
        <v>3.0302801194571505E-2</v>
      </c>
      <c r="E40" s="32"/>
      <c r="F40" s="120"/>
      <c r="G40" s="30" t="s">
        <v>50</v>
      </c>
      <c r="H40" s="70" t="s">
        <v>146</v>
      </c>
      <c r="I40" s="31">
        <v>8.4416805944448059E-2</v>
      </c>
    </row>
    <row r="41" spans="1:9">
      <c r="A41" s="107" t="s">
        <v>23</v>
      </c>
      <c r="B41" s="10" t="s">
        <v>70</v>
      </c>
      <c r="C41" s="71" t="s">
        <v>147</v>
      </c>
      <c r="D41" s="33">
        <v>0.29877380239787121</v>
      </c>
      <c r="E41" s="32"/>
      <c r="F41" s="98" t="s">
        <v>23</v>
      </c>
      <c r="G41" s="10" t="s">
        <v>70</v>
      </c>
      <c r="H41" s="71" t="s">
        <v>148</v>
      </c>
      <c r="I41" s="33">
        <v>0.150577488253683</v>
      </c>
    </row>
    <row r="42" spans="1:9">
      <c r="A42" s="122"/>
      <c r="B42" s="10" t="s">
        <v>75</v>
      </c>
      <c r="C42" s="71" t="s">
        <v>149</v>
      </c>
      <c r="D42" s="33">
        <v>0.10194212157669218</v>
      </c>
      <c r="E42" s="32"/>
      <c r="F42" s="118"/>
      <c r="G42" s="10" t="s">
        <v>75</v>
      </c>
      <c r="H42" s="71" t="s">
        <v>150</v>
      </c>
      <c r="I42" s="33">
        <v>0.14924374309728383</v>
      </c>
    </row>
    <row r="43" spans="1:9">
      <c r="A43" s="122"/>
      <c r="B43" s="10" t="s">
        <v>73</v>
      </c>
      <c r="C43" s="71" t="s">
        <v>151</v>
      </c>
      <c r="D43" s="33">
        <v>9.5043648841661083E-2</v>
      </c>
      <c r="E43" s="32"/>
      <c r="F43" s="118"/>
      <c r="G43" s="10" t="s">
        <v>73</v>
      </c>
      <c r="H43" s="71" t="s">
        <v>152</v>
      </c>
      <c r="I43" s="33">
        <v>8.7030381310720509E-2</v>
      </c>
    </row>
    <row r="44" spans="1:9">
      <c r="A44" s="122"/>
      <c r="B44" s="10" t="s">
        <v>83</v>
      </c>
      <c r="C44" s="71" t="s">
        <v>153</v>
      </c>
      <c r="D44" s="33">
        <v>3.4219743618616391E-2</v>
      </c>
      <c r="E44" s="32"/>
      <c r="F44" s="118"/>
      <c r="G44" s="10" t="s">
        <v>50</v>
      </c>
      <c r="H44" s="71" t="s">
        <v>154</v>
      </c>
      <c r="I44" s="33">
        <v>8.4903408771831307E-2</v>
      </c>
    </row>
    <row r="45" spans="1:9">
      <c r="A45" s="123"/>
      <c r="B45" s="10" t="s">
        <v>94</v>
      </c>
      <c r="C45" s="71" t="s">
        <v>155</v>
      </c>
      <c r="D45" s="33">
        <v>3.283886376701653E-2</v>
      </c>
      <c r="E45" s="32"/>
      <c r="F45" s="118"/>
      <c r="G45" s="10" t="s">
        <v>81</v>
      </c>
      <c r="H45" s="71" t="s">
        <v>156</v>
      </c>
      <c r="I45" s="33">
        <v>8.4889369349132368E-2</v>
      </c>
    </row>
    <row r="46" spans="1:9">
      <c r="A46" s="106" t="s">
        <v>24</v>
      </c>
      <c r="B46" s="30" t="s">
        <v>70</v>
      </c>
      <c r="C46" s="70" t="s">
        <v>157</v>
      </c>
      <c r="D46" s="31">
        <v>0.30997029852766694</v>
      </c>
      <c r="E46" s="32"/>
      <c r="F46" s="105" t="s">
        <v>24</v>
      </c>
      <c r="G46" s="30" t="s">
        <v>75</v>
      </c>
      <c r="H46" s="70" t="s">
        <v>158</v>
      </c>
      <c r="I46" s="31">
        <v>0.13137052953084491</v>
      </c>
    </row>
    <row r="47" spans="1:9">
      <c r="A47" s="119"/>
      <c r="B47" s="30" t="s">
        <v>73</v>
      </c>
      <c r="C47" s="70" t="s">
        <v>159</v>
      </c>
      <c r="D47" s="31">
        <v>0.12717485646942658</v>
      </c>
      <c r="E47" s="32"/>
      <c r="F47" s="120"/>
      <c r="G47" s="30" t="s">
        <v>70</v>
      </c>
      <c r="H47" s="70" t="s">
        <v>160</v>
      </c>
      <c r="I47" s="31">
        <v>0.12763256028696238</v>
      </c>
    </row>
    <row r="48" spans="1:9">
      <c r="A48" s="119"/>
      <c r="B48" s="30" t="s">
        <v>75</v>
      </c>
      <c r="C48" s="70" t="s">
        <v>161</v>
      </c>
      <c r="D48" s="31">
        <v>7.6379764777079695E-2</v>
      </c>
      <c r="E48" s="32"/>
      <c r="F48" s="120"/>
      <c r="G48" s="30" t="s">
        <v>73</v>
      </c>
      <c r="H48" s="70" t="s">
        <v>162</v>
      </c>
      <c r="I48" s="31">
        <v>0.11455410732677487</v>
      </c>
    </row>
    <row r="49" spans="1:9">
      <c r="A49" s="119"/>
      <c r="B49" s="30" t="s">
        <v>79</v>
      </c>
      <c r="C49" s="70" t="s">
        <v>163</v>
      </c>
      <c r="D49" s="31">
        <v>4.3469259374278368E-2</v>
      </c>
      <c r="E49" s="32"/>
      <c r="F49" s="120"/>
      <c r="G49" s="30" t="s">
        <v>81</v>
      </c>
      <c r="H49" s="70" t="s">
        <v>164</v>
      </c>
      <c r="I49" s="31">
        <v>8.0357459956671526E-2</v>
      </c>
    </row>
    <row r="50" spans="1:9">
      <c r="A50" s="121"/>
      <c r="B50" s="30" t="s">
        <v>83</v>
      </c>
      <c r="C50" s="70" t="s">
        <v>165</v>
      </c>
      <c r="D50" s="31">
        <v>2.8451303122237884E-2</v>
      </c>
      <c r="E50" s="32"/>
      <c r="F50" s="120"/>
      <c r="G50" s="30" t="s">
        <v>50</v>
      </c>
      <c r="H50" s="70" t="s">
        <v>166</v>
      </c>
      <c r="I50" s="31">
        <v>7.3187839613595193E-2</v>
      </c>
    </row>
    <row r="52" spans="1:9">
      <c r="A52" s="3" t="s">
        <v>167</v>
      </c>
      <c r="B52" s="3"/>
      <c r="C52" s="3"/>
      <c r="D52" s="3"/>
      <c r="F52" s="3" t="s">
        <v>168</v>
      </c>
      <c r="G52" s="4"/>
      <c r="H52" s="34"/>
      <c r="I52" s="34"/>
    </row>
    <row r="53" spans="1:9" s="2" customFormat="1">
      <c r="A53" s="27"/>
      <c r="B53" s="27" t="s">
        <v>67</v>
      </c>
      <c r="C53" s="29" t="s">
        <v>68</v>
      </c>
      <c r="D53" s="29" t="s">
        <v>69</v>
      </c>
      <c r="F53" s="27"/>
      <c r="G53" s="27" t="s">
        <v>67</v>
      </c>
      <c r="H53" s="29" t="s">
        <v>68</v>
      </c>
      <c r="I53" s="29" t="s">
        <v>69</v>
      </c>
    </row>
    <row r="54" spans="1:9">
      <c r="A54" s="105" t="s">
        <v>16</v>
      </c>
      <c r="B54" s="30" t="s">
        <v>70</v>
      </c>
      <c r="C54" s="70" t="s">
        <v>169</v>
      </c>
      <c r="D54" s="31">
        <v>0.24453743176705628</v>
      </c>
      <c r="F54" s="105" t="s">
        <v>16</v>
      </c>
      <c r="G54" s="30" t="s">
        <v>70</v>
      </c>
      <c r="H54" s="70" t="s">
        <v>170</v>
      </c>
      <c r="I54" s="31">
        <v>0.14710199547744673</v>
      </c>
    </row>
    <row r="55" spans="1:9">
      <c r="A55" s="120"/>
      <c r="B55" s="30" t="s">
        <v>73</v>
      </c>
      <c r="C55" s="70" t="s">
        <v>171</v>
      </c>
      <c r="D55" s="31">
        <v>0.1052557063977725</v>
      </c>
      <c r="F55" s="120"/>
      <c r="G55" s="30" t="s">
        <v>75</v>
      </c>
      <c r="H55" s="70" t="s">
        <v>172</v>
      </c>
      <c r="I55" s="31">
        <v>0.11539453326456936</v>
      </c>
    </row>
    <row r="56" spans="1:9">
      <c r="A56" s="120"/>
      <c r="B56" s="30" t="s">
        <v>75</v>
      </c>
      <c r="C56" s="70" t="s">
        <v>173</v>
      </c>
      <c r="D56" s="31">
        <v>8.6063961994053709E-2</v>
      </c>
      <c r="F56" s="120"/>
      <c r="G56" s="30" t="s">
        <v>73</v>
      </c>
      <c r="H56" s="70" t="s">
        <v>174</v>
      </c>
      <c r="I56" s="31">
        <v>9.9387075018843973E-2</v>
      </c>
    </row>
    <row r="57" spans="1:9">
      <c r="A57" s="120"/>
      <c r="B57" s="30" t="s">
        <v>94</v>
      </c>
      <c r="C57" s="70" t="s">
        <v>175</v>
      </c>
      <c r="D57" s="31">
        <v>4.1057748273529551E-2</v>
      </c>
      <c r="F57" s="120"/>
      <c r="G57" s="30" t="s">
        <v>81</v>
      </c>
      <c r="H57" s="70" t="s">
        <v>176</v>
      </c>
      <c r="I57" s="31">
        <v>8.2288649978180667E-2</v>
      </c>
    </row>
    <row r="58" spans="1:9">
      <c r="A58" s="120"/>
      <c r="B58" s="30" t="s">
        <v>79</v>
      </c>
      <c r="C58" s="70" t="s">
        <v>177</v>
      </c>
      <c r="D58" s="31">
        <v>3.3333857697934531E-2</v>
      </c>
      <c r="F58" s="120"/>
      <c r="G58" s="30" t="s">
        <v>50</v>
      </c>
      <c r="H58" s="70" t="s">
        <v>178</v>
      </c>
      <c r="I58" s="31">
        <v>5.8912206926647358E-2</v>
      </c>
    </row>
    <row r="59" spans="1:9">
      <c r="A59" s="98" t="s">
        <v>17</v>
      </c>
      <c r="B59" s="10" t="s">
        <v>70</v>
      </c>
      <c r="C59" s="71" t="s">
        <v>179</v>
      </c>
      <c r="D59" s="33">
        <v>0.32664372076604009</v>
      </c>
      <c r="F59" s="98" t="s">
        <v>17</v>
      </c>
      <c r="G59" s="10" t="s">
        <v>70</v>
      </c>
      <c r="H59" s="71" t="s">
        <v>180</v>
      </c>
      <c r="I59" s="33">
        <v>0.16507585138753428</v>
      </c>
    </row>
    <row r="60" spans="1:9">
      <c r="A60" s="118"/>
      <c r="B60" s="10" t="s">
        <v>75</v>
      </c>
      <c r="C60" s="71" t="s">
        <v>181</v>
      </c>
      <c r="D60" s="33">
        <v>0.11264672138381432</v>
      </c>
      <c r="F60" s="118"/>
      <c r="G60" s="10" t="s">
        <v>75</v>
      </c>
      <c r="H60" s="71" t="s">
        <v>182</v>
      </c>
      <c r="I60" s="33">
        <v>0.15058865644599811</v>
      </c>
    </row>
    <row r="61" spans="1:9">
      <c r="A61" s="118"/>
      <c r="B61" s="10" t="s">
        <v>73</v>
      </c>
      <c r="C61" s="71" t="s">
        <v>183</v>
      </c>
      <c r="D61" s="33">
        <v>7.0108551760656612E-2</v>
      </c>
      <c r="F61" s="118"/>
      <c r="G61" s="10" t="s">
        <v>50</v>
      </c>
      <c r="H61" s="71" t="s">
        <v>184</v>
      </c>
      <c r="I61" s="33">
        <v>8.5023688718909696E-2</v>
      </c>
    </row>
    <row r="62" spans="1:9">
      <c r="A62" s="118"/>
      <c r="B62" s="10" t="s">
        <v>94</v>
      </c>
      <c r="C62" s="71" t="s">
        <v>185</v>
      </c>
      <c r="D62" s="33">
        <v>4.8168740623069459E-2</v>
      </c>
      <c r="F62" s="118"/>
      <c r="G62" s="10" t="s">
        <v>81</v>
      </c>
      <c r="H62" s="71" t="s">
        <v>186</v>
      </c>
      <c r="I62" s="33">
        <v>7.4412165444789027E-2</v>
      </c>
    </row>
    <row r="63" spans="1:9">
      <c r="A63" s="118"/>
      <c r="B63" s="10" t="s">
        <v>187</v>
      </c>
      <c r="C63" s="71" t="s">
        <v>188</v>
      </c>
      <c r="D63" s="33">
        <v>3.3836378077839555E-2</v>
      </c>
      <c r="F63" s="118"/>
      <c r="G63" s="10" t="s">
        <v>73</v>
      </c>
      <c r="H63" s="71" t="s">
        <v>189</v>
      </c>
      <c r="I63" s="33">
        <v>6.609097783086583E-2</v>
      </c>
    </row>
    <row r="64" spans="1:9">
      <c r="A64" s="105" t="s">
        <v>18</v>
      </c>
      <c r="B64" s="30" t="s">
        <v>70</v>
      </c>
      <c r="C64" s="70" t="s">
        <v>190</v>
      </c>
      <c r="D64" s="31">
        <v>0.27556810523762032</v>
      </c>
      <c r="F64" s="105" t="s">
        <v>18</v>
      </c>
      <c r="G64" s="30" t="s">
        <v>70</v>
      </c>
      <c r="H64" s="70" t="s">
        <v>191</v>
      </c>
      <c r="I64" s="31">
        <v>0.16035749292803553</v>
      </c>
    </row>
    <row r="65" spans="1:9">
      <c r="A65" s="120"/>
      <c r="B65" s="30" t="s">
        <v>73</v>
      </c>
      <c r="C65" s="70" t="s">
        <v>192</v>
      </c>
      <c r="D65" s="31">
        <v>9.3740733752055425E-2</v>
      </c>
      <c r="F65" s="120"/>
      <c r="G65" s="30" t="s">
        <v>75</v>
      </c>
      <c r="H65" s="70" t="s">
        <v>193</v>
      </c>
      <c r="I65" s="31">
        <v>0.11152273650549917</v>
      </c>
    </row>
    <row r="66" spans="1:9">
      <c r="A66" s="120"/>
      <c r="B66" s="30" t="s">
        <v>75</v>
      </c>
      <c r="C66" s="70" t="s">
        <v>194</v>
      </c>
      <c r="D66" s="31">
        <v>8.3025581583416455E-2</v>
      </c>
      <c r="F66" s="120"/>
      <c r="G66" s="30" t="s">
        <v>73</v>
      </c>
      <c r="H66" s="70" t="s">
        <v>195</v>
      </c>
      <c r="I66" s="31">
        <v>9.3703994961108858E-2</v>
      </c>
    </row>
    <row r="67" spans="1:9">
      <c r="A67" s="120"/>
      <c r="B67" s="30" t="s">
        <v>94</v>
      </c>
      <c r="C67" s="70" t="s">
        <v>196</v>
      </c>
      <c r="D67" s="31">
        <v>4.2193438822546295E-2</v>
      </c>
      <c r="F67" s="120"/>
      <c r="G67" s="30" t="s">
        <v>81</v>
      </c>
      <c r="H67" s="70" t="s">
        <v>197</v>
      </c>
      <c r="I67" s="31">
        <v>8.174780946133807E-2</v>
      </c>
    </row>
    <row r="68" spans="1:9">
      <c r="A68" s="120"/>
      <c r="B68" s="30" t="s">
        <v>83</v>
      </c>
      <c r="C68" s="70" t="s">
        <v>198</v>
      </c>
      <c r="D68" s="31">
        <v>2.9995686982774886E-2</v>
      </c>
      <c r="F68" s="120"/>
      <c r="G68" s="30" t="s">
        <v>50</v>
      </c>
      <c r="H68" s="70" t="s">
        <v>199</v>
      </c>
      <c r="I68" s="31">
        <v>6.081330386526184E-2</v>
      </c>
    </row>
    <row r="69" spans="1:9">
      <c r="A69" s="98" t="s">
        <v>19</v>
      </c>
      <c r="B69" s="10" t="s">
        <v>70</v>
      </c>
      <c r="C69" s="71" t="s">
        <v>200</v>
      </c>
      <c r="D69" s="33">
        <v>0.33352836317107581</v>
      </c>
      <c r="F69" s="98" t="s">
        <v>19</v>
      </c>
      <c r="G69" s="10" t="s">
        <v>70</v>
      </c>
      <c r="H69" s="71" t="s">
        <v>201</v>
      </c>
      <c r="I69" s="33">
        <v>0.1618033418033418</v>
      </c>
    </row>
    <row r="70" spans="1:9">
      <c r="A70" s="118"/>
      <c r="B70" s="10" t="s">
        <v>75</v>
      </c>
      <c r="C70" s="71" t="s">
        <v>202</v>
      </c>
      <c r="D70" s="33">
        <v>9.8497358895001039E-2</v>
      </c>
      <c r="F70" s="118"/>
      <c r="G70" s="10" t="s">
        <v>75</v>
      </c>
      <c r="H70" s="71" t="s">
        <v>203</v>
      </c>
      <c r="I70" s="33">
        <v>0.13591899591899592</v>
      </c>
    </row>
    <row r="71" spans="1:9">
      <c r="A71" s="118"/>
      <c r="B71" s="10" t="s">
        <v>73</v>
      </c>
      <c r="C71" s="71" t="s">
        <v>204</v>
      </c>
      <c r="D71" s="33">
        <v>8.0272093964282198E-2</v>
      </c>
      <c r="F71" s="118"/>
      <c r="G71" s="10" t="s">
        <v>50</v>
      </c>
      <c r="H71" s="71" t="s">
        <v>205</v>
      </c>
      <c r="I71" s="33">
        <v>7.8566258566258568E-2</v>
      </c>
    </row>
    <row r="72" spans="1:9">
      <c r="A72" s="118"/>
      <c r="B72" s="10" t="s">
        <v>94</v>
      </c>
      <c r="C72" s="71" t="s">
        <v>85</v>
      </c>
      <c r="D72" s="33">
        <v>4.5106573781428058E-2</v>
      </c>
      <c r="F72" s="118"/>
      <c r="G72" s="10" t="s">
        <v>81</v>
      </c>
      <c r="H72" s="71" t="s">
        <v>206</v>
      </c>
      <c r="I72" s="33">
        <v>7.5269115269115269E-2</v>
      </c>
    </row>
    <row r="73" spans="1:9">
      <c r="A73" s="118"/>
      <c r="B73" s="10" t="s">
        <v>187</v>
      </c>
      <c r="C73" s="71" t="s">
        <v>207</v>
      </c>
      <c r="D73" s="33">
        <v>3.0238738393901947E-2</v>
      </c>
      <c r="F73" s="118"/>
      <c r="G73" s="10" t="s">
        <v>73</v>
      </c>
      <c r="H73" s="71" t="s">
        <v>208</v>
      </c>
      <c r="I73" s="33">
        <v>7.3629013629013626E-2</v>
      </c>
    </row>
    <row r="74" spans="1:9">
      <c r="A74" s="105" t="s">
        <v>20</v>
      </c>
      <c r="B74" s="30" t="s">
        <v>70</v>
      </c>
      <c r="C74" s="70" t="s">
        <v>209</v>
      </c>
      <c r="D74" s="31">
        <v>0.27947606867393032</v>
      </c>
      <c r="F74" s="105" t="s">
        <v>20</v>
      </c>
      <c r="G74" s="30" t="s">
        <v>70</v>
      </c>
      <c r="H74" s="70" t="s">
        <v>210</v>
      </c>
      <c r="I74" s="31">
        <v>0.16401353782825878</v>
      </c>
    </row>
    <row r="75" spans="1:9">
      <c r="A75" s="120"/>
      <c r="B75" s="30" t="s">
        <v>75</v>
      </c>
      <c r="C75" s="70" t="s">
        <v>211</v>
      </c>
      <c r="D75" s="31">
        <v>9.1122493934153503E-2</v>
      </c>
      <c r="F75" s="120"/>
      <c r="G75" s="30" t="s">
        <v>75</v>
      </c>
      <c r="H75" s="70" t="s">
        <v>212</v>
      </c>
      <c r="I75" s="31">
        <v>0.1150651484015711</v>
      </c>
    </row>
    <row r="76" spans="1:9">
      <c r="A76" s="120"/>
      <c r="B76" s="30" t="s">
        <v>73</v>
      </c>
      <c r="C76" s="70" t="s">
        <v>213</v>
      </c>
      <c r="D76" s="31">
        <v>9.0129601988414063E-2</v>
      </c>
      <c r="F76" s="120"/>
      <c r="G76" s="30" t="s">
        <v>73</v>
      </c>
      <c r="H76" s="70" t="s">
        <v>214</v>
      </c>
      <c r="I76" s="31">
        <v>8.5726795376173295E-2</v>
      </c>
    </row>
    <row r="77" spans="1:9">
      <c r="A77" s="120"/>
      <c r="B77" s="30" t="s">
        <v>94</v>
      </c>
      <c r="C77" s="70" t="s">
        <v>215</v>
      </c>
      <c r="D77" s="31">
        <v>4.6711949553198621E-2</v>
      </c>
      <c r="F77" s="120"/>
      <c r="G77" s="30" t="s">
        <v>81</v>
      </c>
      <c r="H77" s="70" t="s">
        <v>216</v>
      </c>
      <c r="I77" s="31">
        <v>8.2383884998769585E-2</v>
      </c>
    </row>
    <row r="78" spans="1:9">
      <c r="A78" s="120"/>
      <c r="B78" s="30" t="s">
        <v>187</v>
      </c>
      <c r="C78" s="70" t="s">
        <v>217</v>
      </c>
      <c r="D78" s="31">
        <v>3.2384058495144037E-2</v>
      </c>
      <c r="F78" s="120"/>
      <c r="G78" s="30" t="s">
        <v>50</v>
      </c>
      <c r="H78" s="70" t="s">
        <v>218</v>
      </c>
      <c r="I78" s="31">
        <v>6.3921176346512162E-2</v>
      </c>
    </row>
    <row r="79" spans="1:9">
      <c r="A79" s="98" t="s">
        <v>21</v>
      </c>
      <c r="B79" s="10" t="s">
        <v>70</v>
      </c>
      <c r="C79" s="71" t="s">
        <v>219</v>
      </c>
      <c r="D79" s="33">
        <v>0.33140608867929794</v>
      </c>
      <c r="F79" s="98" t="s">
        <v>21</v>
      </c>
      <c r="G79" s="10" t="s">
        <v>70</v>
      </c>
      <c r="H79" s="71" t="s">
        <v>220</v>
      </c>
      <c r="I79" s="33">
        <v>0.16001832125695728</v>
      </c>
    </row>
    <row r="80" spans="1:9">
      <c r="A80" s="118"/>
      <c r="B80" s="10" t="s">
        <v>75</v>
      </c>
      <c r="C80" s="71" t="s">
        <v>221</v>
      </c>
      <c r="D80" s="33">
        <v>9.1944080140636777E-2</v>
      </c>
      <c r="F80" s="118"/>
      <c r="G80" s="10" t="s">
        <v>75</v>
      </c>
      <c r="H80" s="71" t="s">
        <v>222</v>
      </c>
      <c r="I80" s="33">
        <v>0.13588486049057316</v>
      </c>
    </row>
    <row r="81" spans="1:9">
      <c r="A81" s="118"/>
      <c r="B81" s="10" t="s">
        <v>73</v>
      </c>
      <c r="C81" s="71" t="s">
        <v>223</v>
      </c>
      <c r="D81" s="33">
        <v>8.3059407874543065E-2</v>
      </c>
      <c r="F81" s="118"/>
      <c r="G81" s="10" t="s">
        <v>50</v>
      </c>
      <c r="H81" s="71" t="s">
        <v>224</v>
      </c>
      <c r="I81" s="33">
        <v>7.8267153028794792E-2</v>
      </c>
    </row>
    <row r="82" spans="1:9">
      <c r="A82" s="118"/>
      <c r="B82" s="10" t="s">
        <v>94</v>
      </c>
      <c r="C82" s="71" t="s">
        <v>225</v>
      </c>
      <c r="D82" s="33">
        <v>4.1331584675056508E-2</v>
      </c>
      <c r="F82" s="118"/>
      <c r="G82" s="10" t="s">
        <v>73</v>
      </c>
      <c r="H82" s="71" t="s">
        <v>226</v>
      </c>
      <c r="I82" s="33">
        <v>7.6276287200584686E-2</v>
      </c>
    </row>
    <row r="83" spans="1:9">
      <c r="A83" s="118"/>
      <c r="B83" s="10" t="s">
        <v>79</v>
      </c>
      <c r="C83" s="71" t="s">
        <v>227</v>
      </c>
      <c r="D83" s="33">
        <v>2.7786924128693807E-2</v>
      </c>
      <c r="F83" s="118"/>
      <c r="G83" s="10" t="s">
        <v>81</v>
      </c>
      <c r="H83" s="71" t="s">
        <v>228</v>
      </c>
      <c r="I83" s="33">
        <v>7.4462350478370007E-2</v>
      </c>
    </row>
    <row r="84" spans="1:9">
      <c r="A84" s="105" t="s">
        <v>22</v>
      </c>
      <c r="B84" s="30" t="s">
        <v>70</v>
      </c>
      <c r="C84" s="70" t="s">
        <v>229</v>
      </c>
      <c r="D84" s="31">
        <v>0.26691230200796601</v>
      </c>
      <c r="F84" s="105" t="s">
        <v>22</v>
      </c>
      <c r="G84" s="30" t="s">
        <v>70</v>
      </c>
      <c r="H84" s="70" t="s">
        <v>230</v>
      </c>
      <c r="I84" s="31">
        <v>0.16965187371321658</v>
      </c>
    </row>
    <row r="85" spans="1:9">
      <c r="A85" s="120"/>
      <c r="B85" s="30" t="s">
        <v>75</v>
      </c>
      <c r="C85" s="70" t="s">
        <v>231</v>
      </c>
      <c r="D85" s="31">
        <v>9.7773843952945055E-2</v>
      </c>
      <c r="F85" s="120"/>
      <c r="G85" s="30" t="s">
        <v>75</v>
      </c>
      <c r="H85" s="70" t="s">
        <v>232</v>
      </c>
      <c r="I85" s="31">
        <v>0.12129621656320211</v>
      </c>
    </row>
    <row r="86" spans="1:9">
      <c r="A86" s="120"/>
      <c r="B86" s="30" t="s">
        <v>73</v>
      </c>
      <c r="C86" s="70" t="s">
        <v>233</v>
      </c>
      <c r="D86" s="31">
        <v>8.2078569002603866E-2</v>
      </c>
      <c r="F86" s="120"/>
      <c r="G86" s="30" t="s">
        <v>81</v>
      </c>
      <c r="H86" s="70" t="s">
        <v>234</v>
      </c>
      <c r="I86" s="31">
        <v>7.8807900360886488E-2</v>
      </c>
    </row>
    <row r="87" spans="1:9">
      <c r="A87" s="120"/>
      <c r="B87" s="30" t="s">
        <v>94</v>
      </c>
      <c r="C87" s="70" t="s">
        <v>235</v>
      </c>
      <c r="D87" s="31">
        <v>4.6138962362216068E-2</v>
      </c>
      <c r="F87" s="120"/>
      <c r="G87" s="30" t="s">
        <v>50</v>
      </c>
      <c r="H87" s="70" t="s">
        <v>236</v>
      </c>
      <c r="I87" s="31">
        <v>7.5261662269748938E-2</v>
      </c>
    </row>
    <row r="88" spans="1:9">
      <c r="A88" s="120"/>
      <c r="B88" s="30" t="s">
        <v>187</v>
      </c>
      <c r="C88" s="70" t="s">
        <v>237</v>
      </c>
      <c r="D88" s="31">
        <v>3.622778218045964E-2</v>
      </c>
      <c r="F88" s="120"/>
      <c r="G88" s="30" t="s">
        <v>73</v>
      </c>
      <c r="H88" s="70" t="s">
        <v>238</v>
      </c>
      <c r="I88" s="31">
        <v>7.1069586115655892E-2</v>
      </c>
    </row>
    <row r="89" spans="1:9">
      <c r="A89" s="98" t="s">
        <v>23</v>
      </c>
      <c r="B89" s="10" t="s">
        <v>70</v>
      </c>
      <c r="C89" s="71" t="s">
        <v>239</v>
      </c>
      <c r="D89" s="33">
        <v>0.3161177846597471</v>
      </c>
      <c r="F89" s="98" t="s">
        <v>23</v>
      </c>
      <c r="G89" s="10" t="s">
        <v>70</v>
      </c>
      <c r="H89" s="71" t="s">
        <v>240</v>
      </c>
      <c r="I89" s="33">
        <v>0.16612473727539059</v>
      </c>
    </row>
    <row r="90" spans="1:9">
      <c r="A90" s="118"/>
      <c r="B90" s="10" t="s">
        <v>75</v>
      </c>
      <c r="C90" s="71" t="s">
        <v>241</v>
      </c>
      <c r="D90" s="33">
        <v>9.63344931331514E-2</v>
      </c>
      <c r="F90" s="118"/>
      <c r="G90" s="10" t="s">
        <v>75</v>
      </c>
      <c r="H90" s="71" t="s">
        <v>242</v>
      </c>
      <c r="I90" s="33">
        <v>0.13643283218278734</v>
      </c>
    </row>
    <row r="91" spans="1:9">
      <c r="A91" s="118"/>
      <c r="B91" s="10" t="s">
        <v>73</v>
      </c>
      <c r="C91" s="71" t="s">
        <v>243</v>
      </c>
      <c r="D91" s="33">
        <v>7.6693908476346703E-2</v>
      </c>
      <c r="F91" s="118"/>
      <c r="G91" s="10" t="s">
        <v>81</v>
      </c>
      <c r="H91" s="71" t="s">
        <v>244</v>
      </c>
      <c r="I91" s="33">
        <v>7.586474914111474E-2</v>
      </c>
    </row>
    <row r="92" spans="1:9">
      <c r="A92" s="118"/>
      <c r="B92" s="10" t="s">
        <v>94</v>
      </c>
      <c r="C92" s="71" t="s">
        <v>245</v>
      </c>
      <c r="D92" s="33">
        <v>4.9778215869886643E-2</v>
      </c>
      <c r="F92" s="118"/>
      <c r="G92" s="10" t="s">
        <v>50</v>
      </c>
      <c r="H92" s="71" t="s">
        <v>246</v>
      </c>
      <c r="I92" s="33">
        <v>7.4434423477577005E-2</v>
      </c>
    </row>
    <row r="93" spans="1:9">
      <c r="A93" s="118"/>
      <c r="B93" s="10" t="s">
        <v>187</v>
      </c>
      <c r="C93" s="71" t="s">
        <v>247</v>
      </c>
      <c r="D93" s="33">
        <v>3.2035485460818136E-2</v>
      </c>
      <c r="F93" s="118"/>
      <c r="G93" s="10" t="s">
        <v>73</v>
      </c>
      <c r="H93" s="71" t="s">
        <v>248</v>
      </c>
      <c r="I93" s="33">
        <v>7.3811243003591917E-2</v>
      </c>
    </row>
    <row r="94" spans="1:9">
      <c r="A94" s="105" t="s">
        <v>24</v>
      </c>
      <c r="B94" s="30" t="s">
        <v>70</v>
      </c>
      <c r="C94" s="70" t="s">
        <v>249</v>
      </c>
      <c r="D94" s="31">
        <v>0.33596169519152402</v>
      </c>
      <c r="F94" s="105" t="s">
        <v>24</v>
      </c>
      <c r="G94" s="30" t="s">
        <v>70</v>
      </c>
      <c r="H94" s="70" t="s">
        <v>250</v>
      </c>
      <c r="I94" s="31">
        <v>0.14300860040032554</v>
      </c>
    </row>
    <row r="95" spans="1:9">
      <c r="A95" s="120"/>
      <c r="B95" s="30" t="s">
        <v>73</v>
      </c>
      <c r="C95" s="70" t="s">
        <v>251</v>
      </c>
      <c r="D95" s="31">
        <v>0.1037999185004075</v>
      </c>
      <c r="F95" s="120"/>
      <c r="G95" s="30" t="s">
        <v>75</v>
      </c>
      <c r="H95" s="70" t="s">
        <v>252</v>
      </c>
      <c r="I95" s="31">
        <v>0.12257440116138399</v>
      </c>
    </row>
    <row r="96" spans="1:9">
      <c r="A96" s="120"/>
      <c r="B96" s="30" t="s">
        <v>75</v>
      </c>
      <c r="C96" s="70" t="s">
        <v>253</v>
      </c>
      <c r="D96" s="31">
        <v>7.8820293398533012E-2</v>
      </c>
      <c r="F96" s="120"/>
      <c r="G96" s="30" t="s">
        <v>73</v>
      </c>
      <c r="H96" s="70" t="s">
        <v>254</v>
      </c>
      <c r="I96" s="31">
        <v>9.9852627411301492E-2</v>
      </c>
    </row>
    <row r="97" spans="1:9">
      <c r="A97" s="120"/>
      <c r="B97" s="30" t="s">
        <v>79</v>
      </c>
      <c r="C97" s="70" t="s">
        <v>255</v>
      </c>
      <c r="D97" s="31">
        <v>3.7571312143439284E-2</v>
      </c>
      <c r="F97" s="120"/>
      <c r="G97" s="30" t="s">
        <v>81</v>
      </c>
      <c r="H97" s="70" t="s">
        <v>256</v>
      </c>
      <c r="I97" s="31">
        <v>7.7799529287552516E-2</v>
      </c>
    </row>
    <row r="98" spans="1:9">
      <c r="A98" s="120"/>
      <c r="B98" s="30" t="s">
        <v>94</v>
      </c>
      <c r="C98" s="70" t="s">
        <v>257</v>
      </c>
      <c r="D98" s="31">
        <v>3.3211083944580277E-2</v>
      </c>
      <c r="F98" s="120"/>
      <c r="G98" s="30" t="s">
        <v>50</v>
      </c>
      <c r="H98" s="70" t="s">
        <v>258</v>
      </c>
      <c r="I98" s="31">
        <v>6.9229923234278429E-2</v>
      </c>
    </row>
    <row r="100" spans="1:9">
      <c r="A100" s="3" t="s">
        <v>259</v>
      </c>
      <c r="B100" s="4"/>
      <c r="C100" s="34"/>
      <c r="D100" s="34"/>
      <c r="F100" s="3" t="s">
        <v>260</v>
      </c>
      <c r="G100" s="4"/>
      <c r="H100" s="34"/>
      <c r="I100" s="34"/>
    </row>
    <row r="101" spans="1:9" s="2" customFormat="1">
      <c r="A101" s="27"/>
      <c r="B101" s="27" t="s">
        <v>67</v>
      </c>
      <c r="C101" s="29" t="s">
        <v>68</v>
      </c>
      <c r="D101" s="29" t="s">
        <v>69</v>
      </c>
      <c r="F101" s="27"/>
      <c r="G101" s="27" t="s">
        <v>67</v>
      </c>
      <c r="H101" s="29" t="s">
        <v>68</v>
      </c>
      <c r="I101" s="29" t="s">
        <v>69</v>
      </c>
    </row>
    <row r="102" spans="1:9">
      <c r="A102" s="105" t="s">
        <v>16</v>
      </c>
      <c r="B102" s="30" t="s">
        <v>70</v>
      </c>
      <c r="C102" s="70" t="s">
        <v>261</v>
      </c>
      <c r="D102" s="31">
        <v>0.3257320827665211</v>
      </c>
      <c r="F102" s="105" t="s">
        <v>16</v>
      </c>
      <c r="G102" s="30" t="s">
        <v>75</v>
      </c>
      <c r="H102" s="70" t="s">
        <v>262</v>
      </c>
      <c r="I102" s="31">
        <v>0.13028621091512435</v>
      </c>
    </row>
    <row r="103" spans="1:9">
      <c r="A103" s="120"/>
      <c r="B103" s="30" t="s">
        <v>73</v>
      </c>
      <c r="C103" s="70" t="s">
        <v>263</v>
      </c>
      <c r="D103" s="31">
        <v>0.13897043029999284</v>
      </c>
      <c r="F103" s="120"/>
      <c r="G103" s="30" t="s">
        <v>70</v>
      </c>
      <c r="H103" s="70" t="s">
        <v>264</v>
      </c>
      <c r="I103" s="31">
        <v>0.10452920378454185</v>
      </c>
    </row>
    <row r="104" spans="1:9">
      <c r="A104" s="120"/>
      <c r="B104" s="30" t="s">
        <v>75</v>
      </c>
      <c r="C104" s="70" t="s">
        <v>265</v>
      </c>
      <c r="D104" s="31">
        <v>8.1406171690413115E-2</v>
      </c>
      <c r="F104" s="120"/>
      <c r="G104" s="30" t="s">
        <v>73</v>
      </c>
      <c r="H104" s="70" t="s">
        <v>266</v>
      </c>
      <c r="I104" s="31">
        <v>0.1024157070337962</v>
      </c>
    </row>
    <row r="105" spans="1:9">
      <c r="A105" s="120"/>
      <c r="B105" s="30" t="s">
        <v>83</v>
      </c>
      <c r="C105" s="70" t="s">
        <v>267</v>
      </c>
      <c r="D105" s="31">
        <v>4.8256604854299417E-2</v>
      </c>
      <c r="F105" s="120"/>
      <c r="G105" s="30" t="s">
        <v>53</v>
      </c>
      <c r="H105" s="70" t="s">
        <v>268</v>
      </c>
      <c r="I105" s="31">
        <v>8.2762162482469828E-2</v>
      </c>
    </row>
    <row r="106" spans="1:9">
      <c r="A106" s="120"/>
      <c r="B106" s="30" t="s">
        <v>269</v>
      </c>
      <c r="C106" s="70" t="s">
        <v>270</v>
      </c>
      <c r="D106" s="31">
        <v>4.2958401947447558E-2</v>
      </c>
      <c r="F106" s="120"/>
      <c r="G106" s="30" t="s">
        <v>81</v>
      </c>
      <c r="H106" s="70" t="s">
        <v>271</v>
      </c>
      <c r="I106" s="31">
        <v>7.3873624745689065E-2</v>
      </c>
    </row>
    <row r="107" spans="1:9">
      <c r="A107" s="98" t="s">
        <v>17</v>
      </c>
      <c r="B107" s="10" t="s">
        <v>70</v>
      </c>
      <c r="C107" s="71" t="s">
        <v>272</v>
      </c>
      <c r="D107" s="33">
        <v>0.41980944819372767</v>
      </c>
      <c r="F107" s="98" t="s">
        <v>17</v>
      </c>
      <c r="G107" s="10" t="s">
        <v>75</v>
      </c>
      <c r="H107" s="71" t="s">
        <v>273</v>
      </c>
      <c r="I107" s="33">
        <v>0.1922865714821462</v>
      </c>
    </row>
    <row r="108" spans="1:9">
      <c r="A108" s="118"/>
      <c r="B108" s="10" t="s">
        <v>75</v>
      </c>
      <c r="C108" s="71" t="s">
        <v>274</v>
      </c>
      <c r="D108" s="33">
        <v>9.9483922191345775E-2</v>
      </c>
      <c r="F108" s="118"/>
      <c r="G108" s="10" t="s">
        <v>81</v>
      </c>
      <c r="H108" s="71" t="s">
        <v>275</v>
      </c>
      <c r="I108" s="33">
        <v>8.8589242184779413E-2</v>
      </c>
    </row>
    <row r="109" spans="1:9">
      <c r="A109" s="118"/>
      <c r="B109" s="10" t="s">
        <v>73</v>
      </c>
      <c r="C109" s="71" t="s">
        <v>276</v>
      </c>
      <c r="D109" s="33">
        <v>9.920603414053196E-2</v>
      </c>
      <c r="F109" s="118"/>
      <c r="G109" s="10" t="s">
        <v>73</v>
      </c>
      <c r="H109" s="71" t="s">
        <v>277</v>
      </c>
      <c r="I109" s="33">
        <v>8.4554391792344169E-2</v>
      </c>
    </row>
    <row r="110" spans="1:9">
      <c r="A110" s="118"/>
      <c r="B110" s="10" t="s">
        <v>94</v>
      </c>
      <c r="C110" s="71" t="s">
        <v>278</v>
      </c>
      <c r="D110" s="33">
        <v>3.5986502580389046E-2</v>
      </c>
      <c r="F110" s="118"/>
      <c r="G110" s="10" t="s">
        <v>50</v>
      </c>
      <c r="H110" s="71" t="s">
        <v>279</v>
      </c>
      <c r="I110" s="33">
        <v>8.3469502558195602E-2</v>
      </c>
    </row>
    <row r="111" spans="1:9">
      <c r="A111" s="118"/>
      <c r="B111" s="10" t="s">
        <v>83</v>
      </c>
      <c r="C111" s="71" t="s">
        <v>280</v>
      </c>
      <c r="D111" s="33">
        <v>3.5708614529575231E-2</v>
      </c>
      <c r="F111" s="118"/>
      <c r="G111" s="10" t="s">
        <v>54</v>
      </c>
      <c r="H111" s="71" t="s">
        <v>281</v>
      </c>
      <c r="I111" s="33">
        <v>6.2006107524577428E-2</v>
      </c>
    </row>
    <row r="112" spans="1:9">
      <c r="A112" s="105" t="s">
        <v>18</v>
      </c>
      <c r="B112" s="30" t="s">
        <v>70</v>
      </c>
      <c r="C112" s="70" t="s">
        <v>282</v>
      </c>
      <c r="D112" s="31">
        <v>0.36010661008396838</v>
      </c>
      <c r="F112" s="105" t="s">
        <v>18</v>
      </c>
      <c r="G112" s="30" t="s">
        <v>75</v>
      </c>
      <c r="H112" s="70" t="s">
        <v>283</v>
      </c>
      <c r="I112" s="31">
        <v>0.13607315099936657</v>
      </c>
    </row>
    <row r="113" spans="1:9">
      <c r="A113" s="120"/>
      <c r="B113" s="30" t="s">
        <v>73</v>
      </c>
      <c r="C113" s="70" t="s">
        <v>284</v>
      </c>
      <c r="D113" s="31">
        <v>0.13284858521690754</v>
      </c>
      <c r="F113" s="120"/>
      <c r="G113" s="30" t="s">
        <v>73</v>
      </c>
      <c r="H113" s="70" t="s">
        <v>285</v>
      </c>
      <c r="I113" s="31">
        <v>0.10294698684862434</v>
      </c>
    </row>
    <row r="114" spans="1:9">
      <c r="A114" s="120"/>
      <c r="B114" s="30" t="s">
        <v>75</v>
      </c>
      <c r="C114" s="70" t="s">
        <v>286</v>
      </c>
      <c r="D114" s="31">
        <v>8.2739258128372004E-2</v>
      </c>
      <c r="F114" s="120"/>
      <c r="G114" s="30" t="s">
        <v>70</v>
      </c>
      <c r="H114" s="70" t="s">
        <v>287</v>
      </c>
      <c r="I114" s="31">
        <v>9.8186903813710799E-2</v>
      </c>
    </row>
    <row r="115" spans="1:9">
      <c r="A115" s="120"/>
      <c r="B115" s="30" t="s">
        <v>83</v>
      </c>
      <c r="C115" s="70" t="s">
        <v>288</v>
      </c>
      <c r="D115" s="31">
        <v>4.3510887425444102E-2</v>
      </c>
      <c r="F115" s="120"/>
      <c r="G115" s="30" t="s">
        <v>81</v>
      </c>
      <c r="H115" s="70" t="s">
        <v>289</v>
      </c>
      <c r="I115" s="31">
        <v>8.0557663482825448E-2</v>
      </c>
    </row>
    <row r="116" spans="1:9">
      <c r="A116" s="120"/>
      <c r="B116" s="30" t="s">
        <v>269</v>
      </c>
      <c r="C116" s="70" t="s">
        <v>290</v>
      </c>
      <c r="D116" s="31">
        <v>3.7792239717431522E-2</v>
      </c>
      <c r="F116" s="120"/>
      <c r="G116" s="30" t="s">
        <v>53</v>
      </c>
      <c r="H116" s="70" t="s">
        <v>291</v>
      </c>
      <c r="I116" s="31">
        <v>7.4637349405146408E-2</v>
      </c>
    </row>
    <row r="117" spans="1:9">
      <c r="A117" s="98" t="s">
        <v>19</v>
      </c>
      <c r="B117" s="10" t="s">
        <v>70</v>
      </c>
      <c r="C117" s="71" t="s">
        <v>292</v>
      </c>
      <c r="D117" s="33">
        <v>0.40367712938075245</v>
      </c>
      <c r="F117" s="98" t="s">
        <v>19</v>
      </c>
      <c r="G117" s="10" t="s">
        <v>75</v>
      </c>
      <c r="H117" s="71" t="s">
        <v>293</v>
      </c>
      <c r="I117" s="33">
        <v>0.1757987891050746</v>
      </c>
    </row>
    <row r="118" spans="1:9">
      <c r="A118" s="118"/>
      <c r="B118" s="10" t="s">
        <v>73</v>
      </c>
      <c r="C118" s="71" t="s">
        <v>294</v>
      </c>
      <c r="D118" s="33">
        <v>0.11555634538063399</v>
      </c>
      <c r="F118" s="118"/>
      <c r="G118" s="10" t="s">
        <v>73</v>
      </c>
      <c r="H118" s="71" t="s">
        <v>295</v>
      </c>
      <c r="I118" s="33">
        <v>9.1648023473909088E-2</v>
      </c>
    </row>
    <row r="119" spans="1:9">
      <c r="A119" s="118"/>
      <c r="B119" s="10" t="s">
        <v>75</v>
      </c>
      <c r="C119" s="71" t="s">
        <v>296</v>
      </c>
      <c r="D119" s="33">
        <v>9.3668317894721256E-2</v>
      </c>
      <c r="F119" s="118"/>
      <c r="G119" s="10" t="s">
        <v>81</v>
      </c>
      <c r="H119" s="71" t="s">
        <v>297</v>
      </c>
      <c r="I119" s="33">
        <v>8.6984183271710841E-2</v>
      </c>
    </row>
    <row r="120" spans="1:9">
      <c r="A120" s="118"/>
      <c r="B120" s="10" t="s">
        <v>83</v>
      </c>
      <c r="C120" s="71" t="s">
        <v>298</v>
      </c>
      <c r="D120" s="33">
        <v>3.6941599840060423E-2</v>
      </c>
      <c r="F120" s="118"/>
      <c r="G120" s="10" t="s">
        <v>50</v>
      </c>
      <c r="H120" s="71" t="s">
        <v>299</v>
      </c>
      <c r="I120" s="33">
        <v>7.6050320106661656E-2</v>
      </c>
    </row>
    <row r="121" spans="1:9">
      <c r="A121" s="118"/>
      <c r="B121" s="10" t="s">
        <v>94</v>
      </c>
      <c r="C121" s="71" t="s">
        <v>300</v>
      </c>
      <c r="D121" s="33">
        <v>3.409822955772264E-2</v>
      </c>
      <c r="F121" s="118"/>
      <c r="G121" s="10" t="s">
        <v>53</v>
      </c>
      <c r="H121" s="71" t="s">
        <v>301</v>
      </c>
      <c r="I121" s="33">
        <v>6.1283520808236729E-2</v>
      </c>
    </row>
    <row r="122" spans="1:9">
      <c r="A122" s="105" t="s">
        <v>20</v>
      </c>
      <c r="B122" s="30" t="s">
        <v>70</v>
      </c>
      <c r="C122" s="70" t="s">
        <v>302</v>
      </c>
      <c r="D122" s="31">
        <v>0.37123904288083392</v>
      </c>
      <c r="F122" s="105" t="s">
        <v>20</v>
      </c>
      <c r="G122" s="30" t="s">
        <v>75</v>
      </c>
      <c r="H122" s="70" t="s">
        <v>303</v>
      </c>
      <c r="I122" s="31">
        <v>0.14097615683761305</v>
      </c>
    </row>
    <row r="123" spans="1:9">
      <c r="A123" s="120"/>
      <c r="B123" s="30" t="s">
        <v>73</v>
      </c>
      <c r="C123" s="70" t="s">
        <v>304</v>
      </c>
      <c r="D123" s="31">
        <v>0.11305627252210128</v>
      </c>
      <c r="F123" s="120"/>
      <c r="G123" s="30" t="s">
        <v>70</v>
      </c>
      <c r="H123" s="70" t="s">
        <v>305</v>
      </c>
      <c r="I123" s="31">
        <v>9.666894854129951E-2</v>
      </c>
    </row>
    <row r="124" spans="1:9">
      <c r="A124" s="120"/>
      <c r="B124" s="30" t="s">
        <v>75</v>
      </c>
      <c r="C124" s="70" t="s">
        <v>306</v>
      </c>
      <c r="D124" s="31">
        <v>8.8829037768550737E-2</v>
      </c>
      <c r="F124" s="120"/>
      <c r="G124" s="30" t="s">
        <v>73</v>
      </c>
      <c r="H124" s="70" t="s">
        <v>307</v>
      </c>
      <c r="I124" s="31">
        <v>9.4353088541590802E-2</v>
      </c>
    </row>
    <row r="125" spans="1:9">
      <c r="A125" s="120"/>
      <c r="B125" s="30" t="s">
        <v>83</v>
      </c>
      <c r="C125" s="70" t="s">
        <v>308</v>
      </c>
      <c r="D125" s="31">
        <v>4.4651429568947243E-2</v>
      </c>
      <c r="F125" s="120"/>
      <c r="G125" s="30" t="s">
        <v>81</v>
      </c>
      <c r="H125" s="70" t="s">
        <v>309</v>
      </c>
      <c r="I125" s="31">
        <v>8.5410082001835211E-2</v>
      </c>
    </row>
    <row r="126" spans="1:9">
      <c r="A126" s="120"/>
      <c r="B126" s="30" t="s">
        <v>269</v>
      </c>
      <c r="C126" s="70" t="s">
        <v>310</v>
      </c>
      <c r="D126" s="31">
        <v>4.2294791705632238E-2</v>
      </c>
      <c r="F126" s="120"/>
      <c r="G126" s="30" t="s">
        <v>53</v>
      </c>
      <c r="H126" s="70" t="s">
        <v>311</v>
      </c>
      <c r="I126" s="31">
        <v>7.401527399488278E-2</v>
      </c>
    </row>
    <row r="127" spans="1:9">
      <c r="A127" s="98" t="s">
        <v>21</v>
      </c>
      <c r="B127" s="10" t="s">
        <v>70</v>
      </c>
      <c r="C127" s="71" t="s">
        <v>312</v>
      </c>
      <c r="D127" s="33">
        <v>0.39787956985992445</v>
      </c>
      <c r="F127" s="98" t="s">
        <v>21</v>
      </c>
      <c r="G127" s="10" t="s">
        <v>75</v>
      </c>
      <c r="H127" s="71" t="s">
        <v>313</v>
      </c>
      <c r="I127" s="33">
        <v>0.17738394007076974</v>
      </c>
    </row>
    <row r="128" spans="1:9">
      <c r="A128" s="118"/>
      <c r="B128" s="10" t="s">
        <v>73</v>
      </c>
      <c r="C128" s="71" t="s">
        <v>314</v>
      </c>
      <c r="D128" s="33">
        <v>0.12718797060759934</v>
      </c>
      <c r="F128" s="118"/>
      <c r="G128" s="10" t="s">
        <v>73</v>
      </c>
      <c r="H128" s="71" t="s">
        <v>315</v>
      </c>
      <c r="I128" s="33">
        <v>9.4001592413906571E-2</v>
      </c>
    </row>
    <row r="129" spans="1:9">
      <c r="A129" s="118"/>
      <c r="B129" s="10" t="s">
        <v>75</v>
      </c>
      <c r="C129" s="71" t="s">
        <v>316</v>
      </c>
      <c r="D129" s="33">
        <v>9.0212875445540061E-2</v>
      </c>
      <c r="F129" s="118"/>
      <c r="G129" s="10" t="s">
        <v>81</v>
      </c>
      <c r="H129" s="71" t="s">
        <v>317</v>
      </c>
      <c r="I129" s="33">
        <v>8.5659386069593405E-2</v>
      </c>
    </row>
    <row r="130" spans="1:9">
      <c r="A130" s="118"/>
      <c r="B130" s="10" t="s">
        <v>83</v>
      </c>
      <c r="C130" s="71" t="s">
        <v>318</v>
      </c>
      <c r="D130" s="33">
        <v>3.6104825832620722E-2</v>
      </c>
      <c r="F130" s="118"/>
      <c r="G130" s="10" t="s">
        <v>50</v>
      </c>
      <c r="H130" s="71" t="s">
        <v>319</v>
      </c>
      <c r="I130" s="33">
        <v>7.6080316667202511E-2</v>
      </c>
    </row>
    <row r="131" spans="1:9">
      <c r="A131" s="118"/>
      <c r="B131" s="10" t="s">
        <v>79</v>
      </c>
      <c r="C131" s="71" t="s">
        <v>320</v>
      </c>
      <c r="D131" s="33">
        <v>3.4999962162203066E-2</v>
      </c>
      <c r="F131" s="118"/>
      <c r="G131" s="10" t="s">
        <v>53</v>
      </c>
      <c r="H131" s="71" t="s">
        <v>321</v>
      </c>
      <c r="I131" s="33">
        <v>6.0350974076938936E-2</v>
      </c>
    </row>
    <row r="132" spans="1:9">
      <c r="A132" s="105" t="s">
        <v>22</v>
      </c>
      <c r="B132" s="30" t="s">
        <v>70</v>
      </c>
      <c r="C132" s="70" t="s">
        <v>322</v>
      </c>
      <c r="D132" s="31">
        <v>0.38940274841437633</v>
      </c>
      <c r="F132" s="105" t="s">
        <v>22</v>
      </c>
      <c r="G132" s="30" t="s">
        <v>75</v>
      </c>
      <c r="H132" s="70" t="s">
        <v>323</v>
      </c>
      <c r="I132" s="31">
        <v>0.15486240361605955</v>
      </c>
    </row>
    <row r="133" spans="1:9">
      <c r="A133" s="120"/>
      <c r="B133" s="30" t="s">
        <v>73</v>
      </c>
      <c r="C133" s="70" t="s">
        <v>324</v>
      </c>
      <c r="D133" s="31">
        <v>0.10551948051948051</v>
      </c>
      <c r="F133" s="120"/>
      <c r="G133" s="30" t="s">
        <v>81</v>
      </c>
      <c r="H133" s="70" t="s">
        <v>325</v>
      </c>
      <c r="I133" s="31">
        <v>9.2157449259948593E-2</v>
      </c>
    </row>
    <row r="134" spans="1:9">
      <c r="A134" s="120"/>
      <c r="B134" s="30" t="s">
        <v>75</v>
      </c>
      <c r="C134" s="70" t="s">
        <v>326</v>
      </c>
      <c r="D134" s="31">
        <v>9.4155844155844159E-2</v>
      </c>
      <c r="F134" s="120"/>
      <c r="G134" s="30" t="s">
        <v>73</v>
      </c>
      <c r="H134" s="70" t="s">
        <v>327</v>
      </c>
      <c r="I134" s="31">
        <v>8.3294558184879908E-2</v>
      </c>
    </row>
    <row r="135" spans="1:9">
      <c r="A135" s="120"/>
      <c r="B135" s="30" t="s">
        <v>83</v>
      </c>
      <c r="C135" s="70" t="s">
        <v>328</v>
      </c>
      <c r="D135" s="31">
        <v>3.9036544850498338E-2</v>
      </c>
      <c r="F135" s="120"/>
      <c r="G135" s="30" t="s">
        <v>50</v>
      </c>
      <c r="H135" s="70" t="s">
        <v>329</v>
      </c>
      <c r="I135" s="31">
        <v>7.3273951963130371E-2</v>
      </c>
    </row>
    <row r="136" spans="1:9">
      <c r="A136" s="120"/>
      <c r="B136" s="30" t="s">
        <v>269</v>
      </c>
      <c r="C136" s="70" t="s">
        <v>330</v>
      </c>
      <c r="D136" s="31">
        <v>3.7752944729688917E-2</v>
      </c>
      <c r="F136" s="120"/>
      <c r="G136" s="30" t="s">
        <v>54</v>
      </c>
      <c r="H136" s="70" t="s">
        <v>331</v>
      </c>
      <c r="I136" s="31">
        <v>6.8953292564034388E-2</v>
      </c>
    </row>
    <row r="137" spans="1:9">
      <c r="A137" s="98" t="s">
        <v>23</v>
      </c>
      <c r="B137" s="10" t="s">
        <v>70</v>
      </c>
      <c r="C137" s="71" t="s">
        <v>332</v>
      </c>
      <c r="D137" s="33">
        <v>0.40570383738601823</v>
      </c>
      <c r="F137" s="98" t="s">
        <v>23</v>
      </c>
      <c r="G137" s="10" t="s">
        <v>75</v>
      </c>
      <c r="H137" s="71" t="s">
        <v>333</v>
      </c>
      <c r="I137" s="33">
        <v>0.17694939788971079</v>
      </c>
    </row>
    <row r="138" spans="1:9">
      <c r="A138" s="118"/>
      <c r="B138" s="10" t="s">
        <v>73</v>
      </c>
      <c r="C138" s="71" t="s">
        <v>334</v>
      </c>
      <c r="D138" s="33">
        <v>9.9544072948328274E-2</v>
      </c>
      <c r="F138" s="118"/>
      <c r="G138" s="10" t="s">
        <v>73</v>
      </c>
      <c r="H138" s="71" t="s">
        <v>335</v>
      </c>
      <c r="I138" s="33">
        <v>9.1327937431302172E-2</v>
      </c>
    </row>
    <row r="139" spans="1:9">
      <c r="A139" s="118"/>
      <c r="B139" s="10" t="s">
        <v>75</v>
      </c>
      <c r="C139" s="71" t="s">
        <v>336</v>
      </c>
      <c r="D139" s="33">
        <v>9.7668123100303955E-2</v>
      </c>
      <c r="F139" s="118"/>
      <c r="G139" s="10" t="s">
        <v>81</v>
      </c>
      <c r="H139" s="71" t="s">
        <v>337</v>
      </c>
      <c r="I139" s="33">
        <v>8.5321688123344161E-2</v>
      </c>
    </row>
    <row r="140" spans="1:9">
      <c r="A140" s="118"/>
      <c r="B140" s="10" t="s">
        <v>83</v>
      </c>
      <c r="C140" s="71" t="s">
        <v>338</v>
      </c>
      <c r="D140" s="33">
        <v>4.1757693768996962E-2</v>
      </c>
      <c r="F140" s="118"/>
      <c r="G140" s="10" t="s">
        <v>50</v>
      </c>
      <c r="H140" s="71" t="s">
        <v>339</v>
      </c>
      <c r="I140" s="33">
        <v>7.317145627239853E-2</v>
      </c>
    </row>
    <row r="141" spans="1:9">
      <c r="A141" s="118"/>
      <c r="B141" s="10" t="s">
        <v>269</v>
      </c>
      <c r="C141" s="71" t="s">
        <v>340</v>
      </c>
      <c r="D141" s="33">
        <v>3.8041413373860182E-2</v>
      </c>
      <c r="F141" s="118"/>
      <c r="G141" s="10" t="s">
        <v>53</v>
      </c>
      <c r="H141" s="71" t="s">
        <v>341</v>
      </c>
      <c r="I141" s="33">
        <v>6.5120813652334311E-2</v>
      </c>
    </row>
    <row r="142" spans="1:9">
      <c r="A142" s="105" t="s">
        <v>24</v>
      </c>
      <c r="B142" s="30" t="s">
        <v>70</v>
      </c>
      <c r="C142" s="70" t="s">
        <v>342</v>
      </c>
      <c r="D142" s="31">
        <v>0.36665247132096562</v>
      </c>
      <c r="F142" s="105" t="s">
        <v>24</v>
      </c>
      <c r="G142" s="30" t="s">
        <v>75</v>
      </c>
      <c r="H142" s="70" t="s">
        <v>343</v>
      </c>
      <c r="I142" s="31">
        <v>0.1595919943018394</v>
      </c>
    </row>
    <row r="143" spans="1:9">
      <c r="A143" s="120"/>
      <c r="B143" s="30" t="s">
        <v>73</v>
      </c>
      <c r="C143" s="70" t="s">
        <v>344</v>
      </c>
      <c r="D143" s="31">
        <v>0.15836682547709668</v>
      </c>
      <c r="F143" s="120"/>
      <c r="G143" s="30" t="s">
        <v>73</v>
      </c>
      <c r="H143" s="70" t="s">
        <v>345</v>
      </c>
      <c r="I143" s="31">
        <v>0.11028768099000104</v>
      </c>
    </row>
    <row r="144" spans="1:9">
      <c r="A144" s="120"/>
      <c r="B144" s="30" t="s">
        <v>75</v>
      </c>
      <c r="C144" s="70" t="s">
        <v>346</v>
      </c>
      <c r="D144" s="31">
        <v>7.7599744483777378E-2</v>
      </c>
      <c r="F144" s="120"/>
      <c r="G144" s="30" t="s">
        <v>81</v>
      </c>
      <c r="H144" s="70" t="s">
        <v>347</v>
      </c>
      <c r="I144" s="31">
        <v>7.9681816451807594E-2</v>
      </c>
    </row>
    <row r="145" spans="1:9">
      <c r="A145" s="120"/>
      <c r="B145" s="30" t="s">
        <v>79</v>
      </c>
      <c r="C145" s="70" t="s">
        <v>348</v>
      </c>
      <c r="D145" s="31">
        <v>4.5899763115168614E-2</v>
      </c>
      <c r="F145" s="120"/>
      <c r="G145" s="30" t="s">
        <v>349</v>
      </c>
      <c r="H145" s="70" t="s">
        <v>350</v>
      </c>
      <c r="I145" s="31">
        <v>6.8008199261631486E-2</v>
      </c>
    </row>
    <row r="146" spans="1:9">
      <c r="A146" s="120"/>
      <c r="B146" s="30" t="s">
        <v>83</v>
      </c>
      <c r="C146" s="70" t="s">
        <v>351</v>
      </c>
      <c r="D146" s="31">
        <v>3.6823613957573657E-2</v>
      </c>
      <c r="F146" s="120"/>
      <c r="G146" s="30" t="s">
        <v>50</v>
      </c>
      <c r="H146" s="70" t="s">
        <v>352</v>
      </c>
      <c r="I146" s="31">
        <v>6.3783513394483446E-2</v>
      </c>
    </row>
  </sheetData>
  <mergeCells count="56">
    <mergeCell ref="A3:D3"/>
    <mergeCell ref="F3:I3"/>
    <mergeCell ref="A6:A10"/>
    <mergeCell ref="F6:F10"/>
    <mergeCell ref="A11:A15"/>
    <mergeCell ref="F11:F15"/>
    <mergeCell ref="A16:A20"/>
    <mergeCell ref="F16:F20"/>
    <mergeCell ref="A21:A25"/>
    <mergeCell ref="F21:F25"/>
    <mergeCell ref="A26:A30"/>
    <mergeCell ref="F26:F30"/>
    <mergeCell ref="A31:A35"/>
    <mergeCell ref="F31:F35"/>
    <mergeCell ref="A36:A40"/>
    <mergeCell ref="F36:F40"/>
    <mergeCell ref="A41:A45"/>
    <mergeCell ref="F41:F45"/>
    <mergeCell ref="A46:A50"/>
    <mergeCell ref="F46:F50"/>
    <mergeCell ref="A54:A58"/>
    <mergeCell ref="F54:F58"/>
    <mergeCell ref="A59:A63"/>
    <mergeCell ref="F59:F63"/>
    <mergeCell ref="A64:A68"/>
    <mergeCell ref="F64:F68"/>
    <mergeCell ref="A69:A73"/>
    <mergeCell ref="F69:F73"/>
    <mergeCell ref="A74:A78"/>
    <mergeCell ref="F74:F78"/>
    <mergeCell ref="A79:A83"/>
    <mergeCell ref="F79:F83"/>
    <mergeCell ref="A84:A88"/>
    <mergeCell ref="F84:F88"/>
    <mergeCell ref="A89:A93"/>
    <mergeCell ref="F89:F93"/>
    <mergeCell ref="A94:A98"/>
    <mergeCell ref="F94:F98"/>
    <mergeCell ref="A102:A106"/>
    <mergeCell ref="F102:F106"/>
    <mergeCell ref="A107:A111"/>
    <mergeCell ref="F107:F111"/>
    <mergeCell ref="A112:A116"/>
    <mergeCell ref="F112:F116"/>
    <mergeCell ref="A117:A121"/>
    <mergeCell ref="F117:F121"/>
    <mergeCell ref="A122:A126"/>
    <mergeCell ref="F122:F126"/>
    <mergeCell ref="A142:A146"/>
    <mergeCell ref="F142:F146"/>
    <mergeCell ref="A127:A131"/>
    <mergeCell ref="F127:F131"/>
    <mergeCell ref="A132:A136"/>
    <mergeCell ref="F132:F136"/>
    <mergeCell ref="A137:A141"/>
    <mergeCell ref="F137:F1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3D81-4A7C-410C-9778-49A67AE498CF}">
  <dimension ref="A1:Y56"/>
  <sheetViews>
    <sheetView zoomScaleNormal="100" workbookViewId="0">
      <selection activeCell="M12" sqref="M12"/>
    </sheetView>
  </sheetViews>
  <sheetFormatPr defaultRowHeight="14.45"/>
  <cols>
    <col min="2" max="2" width="14.5703125" customWidth="1"/>
    <col min="3" max="3" width="11.5703125" customWidth="1"/>
    <col min="4" max="4" width="10.5703125" customWidth="1"/>
    <col min="5" max="5" width="11.7109375" customWidth="1"/>
    <col min="13" max="13" width="13.7109375" customWidth="1"/>
    <col min="15" max="15" width="13.28515625" customWidth="1"/>
    <col min="16" max="16" width="11.5703125" customWidth="1"/>
    <col min="17" max="17" width="10.28515625" customWidth="1"/>
    <col min="18" max="18" width="10.140625" customWidth="1"/>
  </cols>
  <sheetData>
    <row r="1" spans="1:25" ht="28.9">
      <c r="A1" s="45" t="s">
        <v>353</v>
      </c>
      <c r="B1" s="46"/>
      <c r="C1" s="46"/>
      <c r="D1" s="46"/>
      <c r="E1" s="46"/>
      <c r="F1" s="46"/>
      <c r="G1" s="46"/>
      <c r="H1" s="46"/>
      <c r="I1" s="46"/>
      <c r="J1" s="46"/>
      <c r="K1" s="46"/>
      <c r="L1" s="46"/>
      <c r="M1" s="46"/>
      <c r="N1" s="46"/>
      <c r="O1" s="46"/>
      <c r="P1" s="46"/>
      <c r="Q1" s="46"/>
      <c r="R1" s="46"/>
      <c r="S1" s="46"/>
      <c r="T1" s="46"/>
      <c r="U1" s="46"/>
      <c r="V1" s="46"/>
      <c r="W1" s="46"/>
      <c r="X1" s="46"/>
      <c r="Y1" s="46"/>
    </row>
    <row r="2" spans="1:25" ht="18">
      <c r="A2" s="109" t="s">
        <v>354</v>
      </c>
      <c r="B2" s="110"/>
      <c r="C2" s="110"/>
      <c r="D2" s="110"/>
      <c r="E2" s="110"/>
      <c r="F2" s="110"/>
      <c r="G2" s="110"/>
      <c r="H2" s="110"/>
      <c r="I2" s="110"/>
      <c r="J2" s="110"/>
      <c r="K2" s="110"/>
      <c r="L2" s="110"/>
      <c r="M2" s="47"/>
      <c r="N2" s="109" t="s">
        <v>355</v>
      </c>
      <c r="O2" s="110"/>
      <c r="P2" s="110"/>
      <c r="Q2" s="110"/>
      <c r="R2" s="110"/>
      <c r="S2" s="110"/>
      <c r="T2" s="110"/>
      <c r="U2" s="110"/>
      <c r="V2" s="110"/>
      <c r="W2" s="110"/>
      <c r="X2" s="110"/>
      <c r="Y2" s="110"/>
    </row>
    <row r="3" spans="1:25">
      <c r="A3" s="48"/>
      <c r="B3" s="48"/>
      <c r="C3" s="48"/>
      <c r="D3" s="48"/>
      <c r="E3" s="48"/>
      <c r="F3" s="48"/>
      <c r="G3" s="48"/>
      <c r="H3" s="48"/>
      <c r="I3" s="48"/>
      <c r="J3" s="48"/>
      <c r="K3" s="48"/>
      <c r="L3" s="48"/>
      <c r="M3" s="49"/>
      <c r="N3" s="48"/>
      <c r="O3" s="48"/>
      <c r="P3" s="48"/>
      <c r="Q3" s="48"/>
      <c r="R3" s="48"/>
      <c r="S3" s="48"/>
      <c r="T3" s="48"/>
      <c r="U3" s="48"/>
      <c r="V3" s="48"/>
      <c r="W3" s="48"/>
      <c r="X3" s="48"/>
      <c r="Y3" s="48"/>
    </row>
    <row r="4" spans="1:25">
      <c r="A4" s="2" t="str">
        <f>CONCATENATE("Table 19a. College Enrollment Rates in the First Fall after High School Graduation for Classes ",A6," and ",A7,", School Percentile Distribution")</f>
        <v>Table 19a. College Enrollment Rates in the First Fall after High School Graduation for Classes 2024 and 2025, School Percentile Distribution</v>
      </c>
      <c r="B4" s="50"/>
      <c r="N4" s="2" t="str">
        <f>CONCATENATE("Table 19b. College Enrollment Rates in the First Fall after High School Graduation for Classes ",N6," and ",N7,", School Percentile Distribution")</f>
        <v>Table 19b. College Enrollment Rates in the First Fall after High School Graduation for Classes 2024 and 2025, School Percentile Distribution</v>
      </c>
      <c r="O4" s="50"/>
    </row>
    <row r="5" spans="1:25" ht="28.9">
      <c r="A5" s="51"/>
      <c r="B5" s="52" t="s">
        <v>356</v>
      </c>
      <c r="C5" s="53" t="s">
        <v>357</v>
      </c>
      <c r="D5" s="53" t="s">
        <v>358</v>
      </c>
      <c r="E5" s="53" t="s">
        <v>359</v>
      </c>
      <c r="N5" s="51"/>
      <c r="O5" s="52" t="s">
        <v>356</v>
      </c>
      <c r="P5" s="53" t="s">
        <v>357</v>
      </c>
      <c r="Q5" s="53" t="s">
        <v>358</v>
      </c>
      <c r="R5" s="53" t="s">
        <v>359</v>
      </c>
    </row>
    <row r="6" spans="1:25">
      <c r="A6" s="54">
        <v>2024</v>
      </c>
      <c r="B6" s="13">
        <v>2542</v>
      </c>
      <c r="C6" s="11">
        <v>0.36263736263736263</v>
      </c>
      <c r="D6" s="11">
        <v>0.47256510612674996</v>
      </c>
      <c r="E6" s="11">
        <v>0.6</v>
      </c>
      <c r="G6" s="55"/>
      <c r="I6" s="55"/>
      <c r="N6" s="54">
        <v>2024</v>
      </c>
      <c r="O6" s="13">
        <v>1652</v>
      </c>
      <c r="P6" s="11">
        <v>0.60515258735072974</v>
      </c>
      <c r="Q6" s="11">
        <v>0.72120647112298475</v>
      </c>
      <c r="R6" s="11">
        <v>0.81370236773954863</v>
      </c>
      <c r="T6" s="55"/>
      <c r="V6" s="55"/>
    </row>
    <row r="7" spans="1:25">
      <c r="A7" s="54">
        <v>2025</v>
      </c>
      <c r="B7" s="13">
        <v>2483</v>
      </c>
      <c r="C7" s="11">
        <v>0.38656716417910447</v>
      </c>
      <c r="D7" s="11">
        <v>0.48972602739726029</v>
      </c>
      <c r="E7" s="11">
        <v>0.60187353629976581</v>
      </c>
      <c r="N7" s="54">
        <v>2025</v>
      </c>
      <c r="O7" s="13">
        <v>1542</v>
      </c>
      <c r="P7" s="11">
        <v>0.61818181818181817</v>
      </c>
      <c r="Q7" s="11">
        <v>0.72387530028390479</v>
      </c>
      <c r="R7" s="11">
        <v>0.81168831168831168</v>
      </c>
    </row>
    <row r="8" spans="1:25">
      <c r="B8" s="50"/>
      <c r="O8" s="50"/>
    </row>
    <row r="9" spans="1:25">
      <c r="A9" s="2" t="str">
        <f>CONCATENATE("Table 20a. College Enrollment Rates in the First Fall after High School Graduation for Classes ",A11," and ",A12,", Student-Weighted Totals")</f>
        <v>Table 20a. College Enrollment Rates in the First Fall after High School Graduation for Classes 2024 and 2025, Student-Weighted Totals</v>
      </c>
      <c r="B9" s="50"/>
      <c r="N9" s="2" t="str">
        <f>CONCATENATE("Table 20b. College Enrollment Rates in the First Fall after High School Graduation for Classes ",N11," and ",N12,", Student-Weighted Totals")</f>
        <v>Table 20b. College Enrollment Rates in the First Fall after High School Graduation for Classes 2024 and 2025, Student-Weighted Totals</v>
      </c>
      <c r="O9" s="50"/>
    </row>
    <row r="10" spans="1:25" ht="28.9">
      <c r="A10" s="51"/>
      <c r="B10" s="52" t="s">
        <v>360</v>
      </c>
      <c r="C10" s="53" t="s">
        <v>361</v>
      </c>
      <c r="D10" s="53" t="s">
        <v>28</v>
      </c>
      <c r="E10" s="53" t="s">
        <v>29</v>
      </c>
      <c r="F10" s="53" t="s">
        <v>362</v>
      </c>
      <c r="G10" s="53" t="s">
        <v>363</v>
      </c>
      <c r="H10" s="53" t="s">
        <v>364</v>
      </c>
      <c r="I10" s="53" t="s">
        <v>365</v>
      </c>
      <c r="N10" s="51"/>
      <c r="O10" s="52" t="s">
        <v>360</v>
      </c>
      <c r="P10" s="53" t="s">
        <v>361</v>
      </c>
      <c r="Q10" s="53" t="s">
        <v>28</v>
      </c>
      <c r="R10" s="53" t="s">
        <v>29</v>
      </c>
      <c r="S10" s="53" t="s">
        <v>362</v>
      </c>
      <c r="T10" s="53" t="s">
        <v>363</v>
      </c>
      <c r="U10" s="53" t="s">
        <v>364</v>
      </c>
      <c r="V10" s="53" t="s">
        <v>365</v>
      </c>
    </row>
    <row r="11" spans="1:25">
      <c r="A11" s="54">
        <v>2024</v>
      </c>
      <c r="B11" s="13">
        <v>416333</v>
      </c>
      <c r="C11" s="11">
        <v>0.50811489841064728</v>
      </c>
      <c r="D11" s="80">
        <v>0.45065608539318286</v>
      </c>
      <c r="E11" s="11">
        <v>5.7458813017464389E-2</v>
      </c>
      <c r="F11" s="11">
        <v>0.22244213165903257</v>
      </c>
      <c r="G11" s="11">
        <v>0.28567276675161468</v>
      </c>
      <c r="H11" s="11">
        <v>0.46285065080116156</v>
      </c>
      <c r="I11" s="11">
        <v>4.5264247609485678E-2</v>
      </c>
      <c r="N11" s="54">
        <v>2024</v>
      </c>
      <c r="O11" s="13">
        <v>417838</v>
      </c>
      <c r="P11" s="11">
        <v>0.73087895308708162</v>
      </c>
      <c r="Q11" s="80">
        <v>0.5737103853646629</v>
      </c>
      <c r="R11" s="11">
        <v>0.15716856772241874</v>
      </c>
      <c r="S11" s="11">
        <v>0.14169606402481344</v>
      </c>
      <c r="T11" s="11">
        <v>0.58918288906226812</v>
      </c>
      <c r="U11" s="11">
        <v>0.4968097683791326</v>
      </c>
      <c r="V11" s="11">
        <v>0.23406918470794902</v>
      </c>
    </row>
    <row r="12" spans="1:25">
      <c r="A12" s="54">
        <v>2025</v>
      </c>
      <c r="B12" s="13">
        <v>449626</v>
      </c>
      <c r="C12" s="11">
        <v>0.51164300996828471</v>
      </c>
      <c r="D12" s="80">
        <v>0.45368595232482106</v>
      </c>
      <c r="E12" s="11">
        <v>5.7957057643463677E-2</v>
      </c>
      <c r="F12" s="11">
        <v>0.22254273551796383</v>
      </c>
      <c r="G12" s="11">
        <v>0.28910027445032094</v>
      </c>
      <c r="H12" s="11">
        <v>0.46478628904912084</v>
      </c>
      <c r="I12" s="11">
        <v>4.685672091916393E-2</v>
      </c>
      <c r="N12" s="54">
        <v>2025</v>
      </c>
      <c r="O12" s="13">
        <v>393380</v>
      </c>
      <c r="P12" s="11">
        <v>0.73934109512430723</v>
      </c>
      <c r="Q12" s="80">
        <v>0.57825003813106923</v>
      </c>
      <c r="R12" s="11">
        <v>0.16109105699323809</v>
      </c>
      <c r="S12" s="11">
        <v>0.1383013879709187</v>
      </c>
      <c r="T12" s="11">
        <v>0.60103970715338861</v>
      </c>
      <c r="U12" s="11">
        <v>0.49853830901418478</v>
      </c>
      <c r="V12" s="11">
        <v>0.24080278611012254</v>
      </c>
    </row>
    <row r="15" spans="1:25">
      <c r="A15" s="56" t="str">
        <f>CONCATENATE("Table 21a. College Enrollment Rates in the First Year after High School Graduation for Classes ",A17," and ",A18,", School Percentile Distribution")</f>
        <v>Table 21a. College Enrollment Rates in the First Year after High School Graduation for Classes 2023 and 2024, School Percentile Distribution</v>
      </c>
      <c r="B15" s="50"/>
      <c r="N15" s="56" t="str">
        <f>CONCATENATE("Table 21b. College Enrollment Rates in the First Year after High School Graduation for Classes ",N17," and ",N18,", School Percentile Distribution")</f>
        <v>Table 21b. College Enrollment Rates in the First Year after High School Graduation for Classes 2023 and 2024, School Percentile Distribution</v>
      </c>
      <c r="O15" s="50"/>
    </row>
    <row r="16" spans="1:25" ht="28.9">
      <c r="A16" s="51"/>
      <c r="B16" s="52" t="s">
        <v>356</v>
      </c>
      <c r="C16" s="52" t="s">
        <v>357</v>
      </c>
      <c r="D16" s="52" t="s">
        <v>358</v>
      </c>
      <c r="E16" s="52" t="s">
        <v>359</v>
      </c>
      <c r="N16" s="51"/>
      <c r="O16" s="52" t="s">
        <v>356</v>
      </c>
      <c r="P16" s="52" t="s">
        <v>357</v>
      </c>
      <c r="Q16" s="52" t="s">
        <v>358</v>
      </c>
      <c r="R16" s="52" t="s">
        <v>359</v>
      </c>
    </row>
    <row r="17" spans="1:22">
      <c r="A17" s="54">
        <v>2023</v>
      </c>
      <c r="B17" s="13">
        <v>2478</v>
      </c>
      <c r="C17" s="11">
        <v>0.39705882352941174</v>
      </c>
      <c r="D17" s="11">
        <v>0.52149314524140666</v>
      </c>
      <c r="E17" s="11">
        <v>0.64772727272727271</v>
      </c>
      <c r="N17" s="54">
        <v>2023</v>
      </c>
      <c r="O17" s="13">
        <v>1998</v>
      </c>
      <c r="P17" s="11">
        <v>0.60869565217391308</v>
      </c>
      <c r="Q17" s="11">
        <v>0.72727272727272729</v>
      </c>
      <c r="R17" s="11">
        <v>0.83105022831050224</v>
      </c>
    </row>
    <row r="18" spans="1:22">
      <c r="A18" s="54">
        <v>2024</v>
      </c>
      <c r="B18" s="13">
        <v>2542</v>
      </c>
      <c r="C18" s="11">
        <v>0.39634146341463417</v>
      </c>
      <c r="D18" s="11">
        <v>0.51162790697674421</v>
      </c>
      <c r="E18" s="11">
        <v>0.63636363636363635</v>
      </c>
      <c r="N18" s="54">
        <v>2024</v>
      </c>
      <c r="O18" s="13">
        <v>1652</v>
      </c>
      <c r="P18" s="11">
        <v>0.62912287060529182</v>
      </c>
      <c r="Q18" s="11">
        <v>0.74755440843768928</v>
      </c>
      <c r="R18" s="11">
        <v>0.83333333333333337</v>
      </c>
    </row>
    <row r="19" spans="1:22">
      <c r="B19" s="50"/>
      <c r="O19" s="50"/>
    </row>
    <row r="20" spans="1:22">
      <c r="A20" s="56" t="str">
        <f>CONCATENATE("Table 22a. College Enrollment Rates in the First Year after High School Graduation for Classes ",A22," and ",A23,", Student-Weighted Totals")</f>
        <v>Table 22a. College Enrollment Rates in the First Year after High School Graduation for Classes 2023 and 2024, Student-Weighted Totals</v>
      </c>
      <c r="B20" s="50"/>
      <c r="N20" s="56" t="str">
        <f>CONCATENATE("Table 22b. College Enrollment Rates in the First Year after High School Graduation for Classes ",N22," and ",N23,", Student-Weighted Totals")</f>
        <v>Table 22b. College Enrollment Rates in the First Year after High School Graduation for Classes 2023 and 2024, Student-Weighted Totals</v>
      </c>
      <c r="O20" s="50"/>
    </row>
    <row r="21" spans="1:22" ht="28.9">
      <c r="A21" s="51"/>
      <c r="B21" s="52" t="s">
        <v>360</v>
      </c>
      <c r="C21" s="53" t="s">
        <v>361</v>
      </c>
      <c r="D21" s="53" t="s">
        <v>28</v>
      </c>
      <c r="E21" s="53" t="s">
        <v>29</v>
      </c>
      <c r="F21" s="53" t="s">
        <v>362</v>
      </c>
      <c r="G21" s="53" t="s">
        <v>363</v>
      </c>
      <c r="H21" s="53" t="s">
        <v>364</v>
      </c>
      <c r="I21" s="53" t="s">
        <v>365</v>
      </c>
      <c r="N21" s="51"/>
      <c r="O21" s="52" t="s">
        <v>360</v>
      </c>
      <c r="P21" s="53" t="s">
        <v>361</v>
      </c>
      <c r="Q21" s="53" t="s">
        <v>28</v>
      </c>
      <c r="R21" s="53" t="s">
        <v>29</v>
      </c>
      <c r="S21" s="53" t="s">
        <v>362</v>
      </c>
      <c r="T21" s="53" t="s">
        <v>363</v>
      </c>
      <c r="U21" s="53" t="s">
        <v>364</v>
      </c>
      <c r="V21" s="53" t="s">
        <v>365</v>
      </c>
    </row>
    <row r="22" spans="1:22">
      <c r="A22" s="54">
        <v>2023</v>
      </c>
      <c r="B22" s="13">
        <v>393445</v>
      </c>
      <c r="C22" s="11">
        <v>0.5497439286304312</v>
      </c>
      <c r="D22" s="11">
        <v>0.48412357508673387</v>
      </c>
      <c r="E22" s="11">
        <v>6.5620353543697343E-2</v>
      </c>
      <c r="F22" s="11">
        <v>0.24267686716059425</v>
      </c>
      <c r="G22" s="11">
        <v>0.30706706146983698</v>
      </c>
      <c r="H22" s="11">
        <v>0.49701228888408799</v>
      </c>
      <c r="I22" s="11">
        <v>5.2731639746343199E-2</v>
      </c>
      <c r="N22" s="54">
        <v>2023</v>
      </c>
      <c r="O22" s="13">
        <v>488265</v>
      </c>
      <c r="P22" s="11">
        <v>0.74711478398001085</v>
      </c>
      <c r="Q22" s="11">
        <v>0.58546281220239005</v>
      </c>
      <c r="R22" s="11">
        <v>0.16165197177762075</v>
      </c>
      <c r="S22" s="11">
        <v>0.15133380438901006</v>
      </c>
      <c r="T22" s="11">
        <v>0.59578097959100074</v>
      </c>
      <c r="U22" s="11">
        <v>0.51532262193685807</v>
      </c>
      <c r="V22" s="11">
        <v>0.23179216204315278</v>
      </c>
    </row>
    <row r="23" spans="1:22">
      <c r="A23" s="54">
        <v>2024</v>
      </c>
      <c r="B23" s="13">
        <v>416333</v>
      </c>
      <c r="C23" s="11">
        <v>0.5464375872198457</v>
      </c>
      <c r="D23" s="11">
        <v>0.48424458306211615</v>
      </c>
      <c r="E23" s="11">
        <v>6.2193004157729513E-2</v>
      </c>
      <c r="F23" s="11">
        <v>0.24751581066117748</v>
      </c>
      <c r="G23" s="11">
        <v>0.2989217765586682</v>
      </c>
      <c r="H23" s="11">
        <v>0.49643914847009485</v>
      </c>
      <c r="I23" s="11">
        <v>4.9998438749750802E-2</v>
      </c>
      <c r="N23" s="54">
        <v>2024</v>
      </c>
      <c r="O23" s="13">
        <v>417838</v>
      </c>
      <c r="P23" s="11">
        <v>0.75591975837525549</v>
      </c>
      <c r="Q23" s="11">
        <v>0.59483340433373699</v>
      </c>
      <c r="R23" s="11">
        <v>0.16108635404151847</v>
      </c>
      <c r="S23" s="11">
        <v>0.15034056261038967</v>
      </c>
      <c r="T23" s="11">
        <v>0.60557919576486585</v>
      </c>
      <c r="U23" s="11">
        <v>0.51672179169917531</v>
      </c>
      <c r="V23" s="11">
        <v>0.2391979666760802</v>
      </c>
    </row>
    <row r="26" spans="1:22">
      <c r="A26" s="56" t="str">
        <f>CONCATENATE("Table 23a. College Enrollment Rates in the First Two Years after High School Graduation for Classes ",A28," and ",A29,", School Percentile Distribution")</f>
        <v>Table 23a. College Enrollment Rates in the First Two Years after High School Graduation for Classes 2022 and 2023, School Percentile Distribution</v>
      </c>
      <c r="B26" s="50"/>
      <c r="N26" s="56" t="str">
        <f>CONCATENATE("Table 23b. College Enrollment Rates in the First Two Years after High School Graduation for Classes ",N28," and ",N29,", School Percentile Distribution")</f>
        <v>Table 23b. College Enrollment Rates in the First Two Years after High School Graduation for Classes 2022 and 2023, School Percentile Distribution</v>
      </c>
      <c r="O26" s="50"/>
    </row>
    <row r="27" spans="1:22" ht="28.9">
      <c r="A27" s="51"/>
      <c r="B27" s="52" t="s">
        <v>356</v>
      </c>
      <c r="C27" s="53" t="s">
        <v>357</v>
      </c>
      <c r="D27" s="53" t="s">
        <v>358</v>
      </c>
      <c r="E27" s="53" t="s">
        <v>359</v>
      </c>
      <c r="N27" s="51"/>
      <c r="O27" s="52" t="s">
        <v>356</v>
      </c>
      <c r="P27" s="53" t="s">
        <v>357</v>
      </c>
      <c r="Q27" s="53" t="s">
        <v>358</v>
      </c>
      <c r="R27" s="53" t="s">
        <v>359</v>
      </c>
    </row>
    <row r="28" spans="1:22">
      <c r="A28" s="54">
        <v>2022</v>
      </c>
      <c r="B28" s="13">
        <v>1958</v>
      </c>
      <c r="C28" s="80">
        <v>0.40540540540540543</v>
      </c>
      <c r="D28" s="11">
        <v>0.52604449267498643</v>
      </c>
      <c r="E28" s="11">
        <v>0.66145833333333337</v>
      </c>
      <c r="N28" s="54">
        <v>2022</v>
      </c>
      <c r="O28" s="13">
        <v>2566</v>
      </c>
      <c r="P28" s="80">
        <v>0.61904761904761907</v>
      </c>
      <c r="Q28" s="11">
        <v>0.734375</v>
      </c>
      <c r="R28" s="11">
        <v>0.83199999999999996</v>
      </c>
    </row>
    <row r="29" spans="1:22">
      <c r="A29" s="54">
        <v>2023</v>
      </c>
      <c r="B29" s="13">
        <v>2478</v>
      </c>
      <c r="C29" s="80">
        <v>0.43636363636363634</v>
      </c>
      <c r="D29" s="11">
        <v>0.56229575163398693</v>
      </c>
      <c r="E29" s="11">
        <v>0.68181818181818177</v>
      </c>
      <c r="N29" s="54">
        <v>2023</v>
      </c>
      <c r="O29" s="13">
        <v>1998</v>
      </c>
      <c r="P29" s="80">
        <v>0.64697802197802201</v>
      </c>
      <c r="Q29" s="11">
        <v>0.76005390835579512</v>
      </c>
      <c r="R29" s="11">
        <v>0.85604606525911708</v>
      </c>
    </row>
    <row r="30" spans="1:22">
      <c r="B30" s="50"/>
      <c r="O30" s="50"/>
    </row>
    <row r="31" spans="1:22">
      <c r="A31" s="56" t="str">
        <f>CONCATENATE("Table 24a. College Enrollment Rates in the First Two Years after High School Graduation for Classes ",A33," and ",A34,", Student-Weighted Totals")</f>
        <v>Table 24a. College Enrollment Rates in the First Two Years after High School Graduation for Classes 2022 and 2023, Student-Weighted Totals</v>
      </c>
      <c r="B31" s="50"/>
      <c r="N31" s="56" t="str">
        <f>CONCATENATE("Table 24b. College Enrollment Rates in the First Two Years after High School Graduation for Classes ",N33," and ",N34,", Student-Weighted Totals")</f>
        <v>Table 24b. College Enrollment Rates in the First Two Years after High School Graduation for Classes 2022 and 2023, Student-Weighted Totals</v>
      </c>
      <c r="O31" s="50"/>
    </row>
    <row r="32" spans="1:22" ht="28.9">
      <c r="A32" s="51"/>
      <c r="B32" s="52" t="s">
        <v>360</v>
      </c>
      <c r="C32" s="53" t="s">
        <v>361</v>
      </c>
      <c r="D32" s="53" t="s">
        <v>28</v>
      </c>
      <c r="E32" s="53" t="s">
        <v>29</v>
      </c>
      <c r="F32" s="53" t="s">
        <v>362</v>
      </c>
      <c r="G32" s="53" t="s">
        <v>363</v>
      </c>
      <c r="H32" s="53" t="s">
        <v>364</v>
      </c>
      <c r="I32" s="53" t="s">
        <v>365</v>
      </c>
      <c r="N32" s="51"/>
      <c r="O32" s="52" t="s">
        <v>360</v>
      </c>
      <c r="P32" s="53" t="s">
        <v>361</v>
      </c>
      <c r="Q32" s="53" t="s">
        <v>28</v>
      </c>
      <c r="R32" s="53" t="s">
        <v>29</v>
      </c>
      <c r="S32" s="53" t="s">
        <v>362</v>
      </c>
      <c r="T32" s="53" t="s">
        <v>363</v>
      </c>
      <c r="U32" s="53" t="s">
        <v>364</v>
      </c>
      <c r="V32" s="53" t="s">
        <v>365</v>
      </c>
    </row>
    <row r="33" spans="1:22">
      <c r="A33" s="54">
        <v>2022</v>
      </c>
      <c r="B33" s="13">
        <v>307075</v>
      </c>
      <c r="C33" s="11">
        <v>0.56616787429781001</v>
      </c>
      <c r="D33" s="11">
        <v>0.50346006675893507</v>
      </c>
      <c r="E33" s="11">
        <v>6.2707807538874866E-2</v>
      </c>
      <c r="F33" s="11">
        <v>0.27152975657412687</v>
      </c>
      <c r="G33" s="11">
        <v>0.29463811772368315</v>
      </c>
      <c r="H33" s="11">
        <v>0.51229178539444764</v>
      </c>
      <c r="I33" s="11">
        <v>5.3876088903362374E-2</v>
      </c>
      <c r="N33" s="54">
        <v>2022</v>
      </c>
      <c r="O33" s="13">
        <v>609910</v>
      </c>
      <c r="P33" s="11">
        <v>0.75936777557344526</v>
      </c>
      <c r="Q33" s="11">
        <v>0.59797019232345761</v>
      </c>
      <c r="R33" s="11">
        <v>0.16139758324998771</v>
      </c>
      <c r="S33" s="11">
        <v>0.19434342771884378</v>
      </c>
      <c r="T33" s="11">
        <v>0.56502434785460154</v>
      </c>
      <c r="U33" s="11">
        <v>0.52624321621222803</v>
      </c>
      <c r="V33" s="11">
        <v>0.23312455936121723</v>
      </c>
    </row>
    <row r="34" spans="1:22">
      <c r="A34" s="54">
        <v>2023</v>
      </c>
      <c r="B34" s="13">
        <v>393445</v>
      </c>
      <c r="C34" s="11">
        <v>0.58700707849890077</v>
      </c>
      <c r="D34" s="11">
        <v>0.51638729682674833</v>
      </c>
      <c r="E34" s="11">
        <v>7.0619781672152396E-2</v>
      </c>
      <c r="F34" s="11">
        <v>0.26782904853283179</v>
      </c>
      <c r="G34" s="11">
        <v>0.31917802996606898</v>
      </c>
      <c r="H34" s="11">
        <v>0.52784760258740104</v>
      </c>
      <c r="I34" s="11">
        <v>5.9159475911499698E-2</v>
      </c>
      <c r="N34" s="54">
        <v>2023</v>
      </c>
      <c r="O34" s="13">
        <v>488265</v>
      </c>
      <c r="P34" s="11">
        <v>0.77862226454896422</v>
      </c>
      <c r="Q34" s="11">
        <v>0.61244201407022825</v>
      </c>
      <c r="R34" s="11">
        <v>0.16618025047873594</v>
      </c>
      <c r="S34" s="11">
        <v>0.16838601988674184</v>
      </c>
      <c r="T34" s="11">
        <v>0.61023624466222237</v>
      </c>
      <c r="U34" s="11">
        <v>0.53965571974235305</v>
      </c>
      <c r="V34" s="11">
        <v>0.23896654480661117</v>
      </c>
    </row>
    <row r="37" spans="1:22">
      <c r="A37" s="56" t="str">
        <f>CONCATENATE("Table 25a. Persistence Rates from First to Second Year of College for Class of ",A39," and ",A40,", School Percentile Distribution")</f>
        <v>Table 25a. Persistence Rates from First to Second Year of College for Class of 2022 and 2023, School Percentile Distribution</v>
      </c>
      <c r="B37" s="50"/>
      <c r="N37" s="56" t="str">
        <f>CONCATENATE("Table 25b. Persistence Rates from First to Second Year of College for Class of ",N39," and ",N40,", School Percentile Distribution")</f>
        <v>Table 25b. Persistence Rates from First to Second Year of College for Class of 2022 and 2023, School Percentile Distribution</v>
      </c>
      <c r="O37" s="50"/>
    </row>
    <row r="38" spans="1:22" ht="28.9">
      <c r="A38" s="51"/>
      <c r="B38" s="52" t="s">
        <v>356</v>
      </c>
      <c r="C38" s="53" t="s">
        <v>357</v>
      </c>
      <c r="D38" s="53" t="s">
        <v>358</v>
      </c>
      <c r="E38" s="53" t="s">
        <v>359</v>
      </c>
      <c r="N38" s="51"/>
      <c r="O38" s="52" t="s">
        <v>356</v>
      </c>
      <c r="P38" s="53" t="s">
        <v>357</v>
      </c>
      <c r="Q38" s="53" t="s">
        <v>358</v>
      </c>
      <c r="R38" s="53" t="s">
        <v>359</v>
      </c>
    </row>
    <row r="39" spans="1:22">
      <c r="A39" s="54">
        <v>2022</v>
      </c>
      <c r="B39" s="13">
        <v>1958</v>
      </c>
      <c r="C39" s="11">
        <v>0.63680926916221026</v>
      </c>
      <c r="D39" s="11">
        <v>0.72727272727272729</v>
      </c>
      <c r="E39" s="11">
        <v>0.8</v>
      </c>
      <c r="N39" s="54">
        <v>2022</v>
      </c>
      <c r="O39" s="13">
        <v>2566</v>
      </c>
      <c r="P39" s="11">
        <v>0.8200719424460432</v>
      </c>
      <c r="Q39" s="11">
        <v>0.88888888888888884</v>
      </c>
      <c r="R39" s="11">
        <v>0.9304126374843138</v>
      </c>
    </row>
    <row r="40" spans="1:22">
      <c r="A40" s="54">
        <v>2023</v>
      </c>
      <c r="B40" s="13">
        <v>2478</v>
      </c>
      <c r="C40" s="11">
        <v>0.65454545454545454</v>
      </c>
      <c r="D40" s="11">
        <v>0.73954983922829587</v>
      </c>
      <c r="E40" s="11">
        <v>0.8035714285714286</v>
      </c>
      <c r="N40" s="54">
        <v>2023</v>
      </c>
      <c r="O40" s="13">
        <v>1998</v>
      </c>
      <c r="P40" s="11">
        <v>0.85326086956521741</v>
      </c>
      <c r="Q40" s="11">
        <v>0.90384615384615385</v>
      </c>
      <c r="R40" s="11">
        <v>0.93779904306220097</v>
      </c>
    </row>
    <row r="41" spans="1:22">
      <c r="B41" s="50"/>
      <c r="O41" s="50"/>
    </row>
    <row r="42" spans="1:22">
      <c r="A42" s="56" t="str">
        <f>CONCATENATE("Table 26a. Persistence Rates from First to Second Year of College for Class of ",A44," and ",A45,", Student-Weighted Totals")</f>
        <v>Table 26a. Persistence Rates from First to Second Year of College for Class of 2022 and 2023, Student-Weighted Totals</v>
      </c>
      <c r="B42" s="50"/>
      <c r="N42" s="56" t="str">
        <f>CONCATENATE("Table 26b. Persistence Rates from First to Second Year of College for Class of ",N44," and ",N45,", Student-Weighted Totals")</f>
        <v>Table 26b. Persistence Rates from First to Second Year of College for Class of 2022 and 2023, Student-Weighted Totals</v>
      </c>
      <c r="O42" s="50"/>
    </row>
    <row r="43" spans="1:22" ht="43.15">
      <c r="A43" s="51"/>
      <c r="B43" s="52" t="s">
        <v>366</v>
      </c>
      <c r="C43" s="53" t="s">
        <v>361</v>
      </c>
      <c r="D43" s="53" t="s">
        <v>28</v>
      </c>
      <c r="E43" s="53" t="s">
        <v>29</v>
      </c>
      <c r="F43" s="53" t="s">
        <v>362</v>
      </c>
      <c r="G43" s="53" t="s">
        <v>363</v>
      </c>
      <c r="H43" s="53" t="s">
        <v>364</v>
      </c>
      <c r="I43" s="53" t="s">
        <v>365</v>
      </c>
      <c r="N43" s="51"/>
      <c r="O43" s="52" t="s">
        <v>366</v>
      </c>
      <c r="P43" s="53" t="s">
        <v>361</v>
      </c>
      <c r="Q43" s="53" t="s">
        <v>28</v>
      </c>
      <c r="R43" s="53" t="s">
        <v>29</v>
      </c>
      <c r="S43" s="53" t="s">
        <v>362</v>
      </c>
      <c r="T43" s="53" t="s">
        <v>363</v>
      </c>
      <c r="U43" s="53" t="s">
        <v>364</v>
      </c>
      <c r="V43" s="53" t="s">
        <v>365</v>
      </c>
    </row>
    <row r="44" spans="1:22">
      <c r="A44" s="54">
        <v>2022</v>
      </c>
      <c r="B44" s="13">
        <v>162222</v>
      </c>
      <c r="C44" s="11">
        <v>0.74312362071728866</v>
      </c>
      <c r="D44" s="11">
        <v>0.7376358225482732</v>
      </c>
      <c r="E44" s="11">
        <v>0.78784119106699757</v>
      </c>
      <c r="F44" s="11">
        <v>0.65239644500872873</v>
      </c>
      <c r="G44" s="11">
        <v>0.82232998499018584</v>
      </c>
      <c r="H44" s="11">
        <v>0.73918933564538858</v>
      </c>
      <c r="I44" s="11">
        <v>0.78293351610692252</v>
      </c>
      <c r="N44" s="54">
        <v>2022</v>
      </c>
      <c r="O44" s="13">
        <v>442325</v>
      </c>
      <c r="P44" s="11">
        <v>0.89449838919346636</v>
      </c>
      <c r="Q44" s="11">
        <v>0.88406198038690198</v>
      </c>
      <c r="R44" s="11">
        <v>0.93249538358234008</v>
      </c>
      <c r="S44" s="11">
        <v>0.75606390568092219</v>
      </c>
      <c r="T44" s="11">
        <v>0.93841741787351141</v>
      </c>
      <c r="U44" s="11">
        <v>0.87235897889805702</v>
      </c>
      <c r="V44" s="11">
        <v>0.94369254527177637</v>
      </c>
    </row>
    <row r="45" spans="1:22">
      <c r="A45" s="54">
        <v>2023</v>
      </c>
      <c r="B45" s="13">
        <v>216294</v>
      </c>
      <c r="C45" s="11">
        <v>0.76006269244639246</v>
      </c>
      <c r="D45" s="11">
        <v>0.75364875364875361</v>
      </c>
      <c r="E45" s="11">
        <v>0.80738244635525602</v>
      </c>
      <c r="F45" s="11">
        <v>0.66578341013824882</v>
      </c>
      <c r="G45" s="11">
        <v>0.8345721522340126</v>
      </c>
      <c r="H45" s="11">
        <v>0.75501541828818652</v>
      </c>
      <c r="I45" s="11">
        <v>0.80763483877187059</v>
      </c>
      <c r="N45" s="54">
        <v>2023</v>
      </c>
      <c r="O45" s="13">
        <v>364790</v>
      </c>
      <c r="P45" s="11">
        <v>0.90576496066229883</v>
      </c>
      <c r="Q45" s="11">
        <v>0.89714231742000483</v>
      </c>
      <c r="R45" s="11">
        <v>0.93699400727235871</v>
      </c>
      <c r="S45" s="11">
        <v>0.76673749171076311</v>
      </c>
      <c r="T45" s="11">
        <v>0.94107920618496455</v>
      </c>
      <c r="U45" s="11">
        <v>0.88545152495489121</v>
      </c>
      <c r="V45" s="11">
        <v>0.95092599137626355</v>
      </c>
    </row>
    <row r="48" spans="1:22">
      <c r="A48" s="56" t="str">
        <f>CONCATENATE("Table 27a. Six-Year Completion Rates for Class of ",,A50," and ",A51,", School Percentile Distribution")</f>
        <v>Table 27a. Six-Year Completion Rates for Class of 2018 and 2019, School Percentile Distribution</v>
      </c>
      <c r="B48" s="50"/>
      <c r="N48" s="56" t="str">
        <f>CONCATENATE("Table 27b. Six-Year Completion Rates for Class of ",N50," and ",N51,", School Percentile Distribution")</f>
        <v>Table 27b. Six-Year Completion Rates for Class of 2018 and 2019, School Percentile Distribution</v>
      </c>
      <c r="O48" s="50"/>
    </row>
    <row r="49" spans="1:22" ht="28.9">
      <c r="A49" s="51"/>
      <c r="B49" s="52" t="s">
        <v>356</v>
      </c>
      <c r="C49" s="53" t="s">
        <v>357</v>
      </c>
      <c r="D49" s="53" t="s">
        <v>358</v>
      </c>
      <c r="E49" s="53" t="s">
        <v>359</v>
      </c>
      <c r="N49" s="51"/>
      <c r="O49" s="52" t="s">
        <v>356</v>
      </c>
      <c r="P49" s="53" t="s">
        <v>357</v>
      </c>
      <c r="Q49" s="53" t="s">
        <v>358</v>
      </c>
      <c r="R49" s="53" t="s">
        <v>359</v>
      </c>
    </row>
    <row r="50" spans="1:22">
      <c r="A50" s="54">
        <v>2018</v>
      </c>
      <c r="B50" s="13">
        <v>1897</v>
      </c>
      <c r="C50" s="11">
        <v>0.13793103448275862</v>
      </c>
      <c r="D50" s="11">
        <v>0.22556390977443608</v>
      </c>
      <c r="E50" s="11">
        <v>0.30256410256410254</v>
      </c>
      <c r="N50" s="54">
        <v>2018</v>
      </c>
      <c r="O50" s="13">
        <v>2267</v>
      </c>
      <c r="P50" s="11">
        <v>0.46666666666666667</v>
      </c>
      <c r="Q50" s="11">
        <v>0.56358381502890176</v>
      </c>
      <c r="R50" s="11">
        <v>0.65986394557823125</v>
      </c>
    </row>
    <row r="51" spans="1:22">
      <c r="A51" s="54">
        <v>2019</v>
      </c>
      <c r="B51" s="13">
        <v>1886</v>
      </c>
      <c r="C51" s="11">
        <v>0.14285714285714285</v>
      </c>
      <c r="D51" s="11">
        <v>0.22222222222222221</v>
      </c>
      <c r="E51" s="11">
        <v>0.30158730158730157</v>
      </c>
      <c r="N51" s="54">
        <v>2019</v>
      </c>
      <c r="O51" s="13">
        <v>2309</v>
      </c>
      <c r="P51" s="11">
        <v>0.45512820512820512</v>
      </c>
      <c r="Q51" s="11">
        <v>0.55600814663951115</v>
      </c>
      <c r="R51" s="11">
        <v>0.65517241379310343</v>
      </c>
    </row>
    <row r="52" spans="1:22">
      <c r="A52" s="58"/>
      <c r="B52" s="59"/>
      <c r="C52" s="60"/>
      <c r="D52" s="60"/>
      <c r="E52" s="60"/>
      <c r="N52" s="58"/>
      <c r="O52" s="59"/>
      <c r="P52" s="60"/>
      <c r="Q52" s="60"/>
      <c r="R52" s="60"/>
    </row>
    <row r="53" spans="1:22">
      <c r="A53" s="56" t="str">
        <f>CONCATENATE("Table 28a. Six-Year Completion Rates for Class of ",A55," and ",A56, ", Student-Weighted Totals")</f>
        <v>Table 28a. Six-Year Completion Rates for Class of 2018 and 2019, Student-Weighted Totals</v>
      </c>
      <c r="B53" s="50"/>
      <c r="N53" s="56" t="str">
        <f>CONCATENATE("Table 28b. Six-Year Completion Rates for Class of ",,N55," and ",N56, ", Student-Weighted Totals")</f>
        <v>Table 28b. Six-Year Completion Rates for Class of 2018 and 2019, Student-Weighted Totals</v>
      </c>
      <c r="O53" s="50"/>
    </row>
    <row r="54" spans="1:22" ht="28.9">
      <c r="A54" s="51"/>
      <c r="B54" s="52" t="s">
        <v>360</v>
      </c>
      <c r="C54" s="53" t="s">
        <v>361</v>
      </c>
      <c r="D54" s="53" t="s">
        <v>28</v>
      </c>
      <c r="E54" s="53" t="s">
        <v>29</v>
      </c>
      <c r="F54" s="53" t="s">
        <v>362</v>
      </c>
      <c r="G54" s="53" t="s">
        <v>363</v>
      </c>
      <c r="H54" s="53" t="s">
        <v>364</v>
      </c>
      <c r="I54" s="53" t="s">
        <v>365</v>
      </c>
      <c r="N54" s="51"/>
      <c r="O54" s="52" t="s">
        <v>360</v>
      </c>
      <c r="P54" s="53" t="s">
        <v>361</v>
      </c>
      <c r="Q54" s="53" t="s">
        <v>28</v>
      </c>
      <c r="R54" s="53" t="s">
        <v>29</v>
      </c>
      <c r="S54" s="53" t="s">
        <v>362</v>
      </c>
      <c r="T54" s="53" t="s">
        <v>363</v>
      </c>
      <c r="U54" s="53" t="s">
        <v>364</v>
      </c>
      <c r="V54" s="53" t="s">
        <v>365</v>
      </c>
    </row>
    <row r="55" spans="1:22">
      <c r="A55" s="54">
        <v>2018</v>
      </c>
      <c r="B55" s="13">
        <v>312702</v>
      </c>
      <c r="C55" s="11">
        <v>0.24787497361705393</v>
      </c>
      <c r="D55" s="11">
        <v>0.20889537003281078</v>
      </c>
      <c r="E55" s="11">
        <v>3.8979603584243148E-2</v>
      </c>
      <c r="F55" s="11">
        <v>8.695819022583802E-2</v>
      </c>
      <c r="G55" s="11">
        <v>0.16060018803845194</v>
      </c>
      <c r="H55" s="11">
        <v>0.22172547665189221</v>
      </c>
      <c r="I55" s="11">
        <v>2.6149496965161719E-2</v>
      </c>
      <c r="N55" s="54">
        <v>2018</v>
      </c>
      <c r="O55" s="13">
        <v>583495</v>
      </c>
      <c r="P55" s="11">
        <v>0.59384570561872851</v>
      </c>
      <c r="Q55" s="11">
        <v>0.4392034207662448</v>
      </c>
      <c r="R55" s="11">
        <v>0.15464228485248374</v>
      </c>
      <c r="S55" s="11">
        <v>8.4936460466670666E-2</v>
      </c>
      <c r="T55" s="11">
        <v>0.50888867942313132</v>
      </c>
      <c r="U55" s="11">
        <v>0.40114825319839931</v>
      </c>
      <c r="V55" s="11">
        <v>0.19269745242032923</v>
      </c>
    </row>
    <row r="56" spans="1:22">
      <c r="A56" s="54">
        <v>2019</v>
      </c>
      <c r="B56" s="13">
        <v>319767</v>
      </c>
      <c r="C56" s="11">
        <v>0.24604790362983048</v>
      </c>
      <c r="D56" s="11">
        <v>0.20756988682384361</v>
      </c>
      <c r="E56" s="11">
        <v>3.8478016805986857E-2</v>
      </c>
      <c r="F56" s="11">
        <v>8.7357357075620687E-2</v>
      </c>
      <c r="G56" s="11">
        <v>0.15832465513952346</v>
      </c>
      <c r="H56" s="11">
        <v>0.22030103168869833</v>
      </c>
      <c r="I56" s="11">
        <v>2.5746871941132139E-2</v>
      </c>
      <c r="N56" s="54">
        <v>2019</v>
      </c>
      <c r="O56" s="13">
        <v>593266</v>
      </c>
      <c r="P56" s="11">
        <v>0.58831957334484031</v>
      </c>
      <c r="Q56" s="11">
        <v>0.43944537526168698</v>
      </c>
      <c r="R56" s="11">
        <v>0.14887419808315325</v>
      </c>
      <c r="S56" s="11">
        <v>8.4919749319866636E-2</v>
      </c>
      <c r="T56" s="11">
        <v>0.50339645285588586</v>
      </c>
      <c r="U56" s="11">
        <v>0.39527968904336336</v>
      </c>
      <c r="V56" s="11">
        <v>0.19303988430147692</v>
      </c>
    </row>
  </sheetData>
  <mergeCells count="2">
    <mergeCell ref="A2:L2"/>
    <mergeCell ref="N2:Y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E8661-B613-490D-BB50-3EB022329721}">
  <dimension ref="A1:Y56"/>
  <sheetViews>
    <sheetView topLeftCell="B33" zoomScaleNormal="100" workbookViewId="0">
      <selection activeCell="L19" sqref="L19"/>
    </sheetView>
  </sheetViews>
  <sheetFormatPr defaultRowHeight="14.45"/>
  <cols>
    <col min="2" max="2" width="14.5703125" customWidth="1"/>
    <col min="3" max="3" width="11.5703125" customWidth="1"/>
    <col min="4" max="4" width="10.5703125" customWidth="1"/>
    <col min="5" max="5" width="11.7109375" customWidth="1"/>
    <col min="13" max="13" width="13.7109375" customWidth="1"/>
    <col min="15" max="15" width="13.28515625" customWidth="1"/>
    <col min="16" max="16" width="11.5703125" customWidth="1"/>
    <col min="17" max="17" width="10.28515625" customWidth="1"/>
    <col min="18" max="18" width="10.140625" customWidth="1"/>
  </cols>
  <sheetData>
    <row r="1" spans="1:25" ht="28.9">
      <c r="A1" s="45" t="s">
        <v>367</v>
      </c>
      <c r="B1" s="46"/>
      <c r="C1" s="46"/>
      <c r="D1" s="46"/>
      <c r="E1" s="46"/>
      <c r="F1" s="46"/>
      <c r="G1" s="46"/>
      <c r="H1" s="46"/>
      <c r="I1" s="46"/>
      <c r="J1" s="46"/>
      <c r="K1" s="46"/>
      <c r="L1" s="46"/>
      <c r="M1" s="46"/>
      <c r="N1" s="46"/>
      <c r="O1" s="46"/>
      <c r="P1" s="46"/>
      <c r="Q1" s="46"/>
      <c r="R1" s="46"/>
      <c r="S1" s="46"/>
      <c r="T1" s="46"/>
      <c r="U1" s="46"/>
      <c r="V1" s="46"/>
      <c r="W1" s="46"/>
      <c r="X1" s="46"/>
      <c r="Y1" s="46"/>
    </row>
    <row r="2" spans="1:25" ht="18">
      <c r="A2" s="109" t="s">
        <v>368</v>
      </c>
      <c r="B2" s="110"/>
      <c r="C2" s="110"/>
      <c r="D2" s="110"/>
      <c r="E2" s="110"/>
      <c r="F2" s="110"/>
      <c r="G2" s="110"/>
      <c r="H2" s="110"/>
      <c r="I2" s="110"/>
      <c r="J2" s="110"/>
      <c r="K2" s="110"/>
      <c r="L2" s="110"/>
      <c r="M2" s="47"/>
      <c r="N2" s="109" t="s">
        <v>369</v>
      </c>
      <c r="O2" s="110"/>
      <c r="P2" s="110"/>
      <c r="Q2" s="110"/>
      <c r="R2" s="110"/>
      <c r="S2" s="110"/>
      <c r="T2" s="110"/>
      <c r="U2" s="110"/>
      <c r="V2" s="110"/>
      <c r="W2" s="110"/>
      <c r="X2" s="110"/>
      <c r="Y2" s="110"/>
    </row>
    <row r="3" spans="1:25">
      <c r="A3" s="48"/>
      <c r="B3" s="48"/>
      <c r="C3" s="48"/>
      <c r="D3" s="48"/>
      <c r="E3" s="48"/>
      <c r="F3" s="48"/>
      <c r="G3" s="48"/>
      <c r="H3" s="48"/>
      <c r="I3" s="48"/>
      <c r="J3" s="48"/>
      <c r="K3" s="48"/>
      <c r="L3" s="48"/>
      <c r="M3" s="49"/>
      <c r="N3" s="48"/>
      <c r="O3" s="48"/>
      <c r="P3" s="48"/>
      <c r="Q3" s="48"/>
      <c r="R3" s="48"/>
      <c r="S3" s="48"/>
      <c r="T3" s="48"/>
      <c r="U3" s="48"/>
      <c r="V3" s="48"/>
      <c r="W3" s="48"/>
      <c r="X3" s="48"/>
      <c r="Y3" s="48"/>
    </row>
    <row r="4" spans="1:25">
      <c r="A4" s="2" t="str">
        <f>CONCATENATE("Table 29a. College Enrollment Rates in the First Fall after High School Graduation for Classes ",A6," and ",A7,", School Percentile Distribution")</f>
        <v>Table 29a. College Enrollment Rates in the First Fall after High School Graduation for Classes 2024 and 2025, School Percentile Distribution</v>
      </c>
      <c r="B4" s="50"/>
      <c r="N4" s="2" t="str">
        <f>CONCATENATE("Table 29b. College Enrollment Rates in the First Fall after High School Graduation for Classes ",N6," and ",N7,", School Percentile Distribution")</f>
        <v>Table 29b. College Enrollment Rates in the First Fall after High School Graduation for Classes 2024 and 2025, School Percentile Distribution</v>
      </c>
      <c r="O4" s="50"/>
    </row>
    <row r="5" spans="1:25" ht="28.9">
      <c r="A5" s="51"/>
      <c r="B5" s="52" t="s">
        <v>356</v>
      </c>
      <c r="C5" s="53" t="s">
        <v>357</v>
      </c>
      <c r="D5" s="53" t="s">
        <v>358</v>
      </c>
      <c r="E5" s="53" t="s">
        <v>359</v>
      </c>
      <c r="N5" s="51"/>
      <c r="O5" s="52" t="s">
        <v>356</v>
      </c>
      <c r="P5" s="53" t="s">
        <v>357</v>
      </c>
      <c r="Q5" s="53" t="s">
        <v>358</v>
      </c>
      <c r="R5" s="53" t="s">
        <v>359</v>
      </c>
    </row>
    <row r="6" spans="1:25">
      <c r="A6" s="54">
        <v>2024</v>
      </c>
      <c r="B6" s="13">
        <v>5701</v>
      </c>
      <c r="C6" s="11">
        <v>0.38764044943820225</v>
      </c>
      <c r="D6" s="11">
        <v>0.48763250883392228</v>
      </c>
      <c r="E6" s="11">
        <v>0.597444089456869</v>
      </c>
      <c r="G6" s="55"/>
      <c r="I6" s="55"/>
      <c r="N6" s="54">
        <v>2024</v>
      </c>
      <c r="O6" s="13">
        <v>7115</v>
      </c>
      <c r="P6" s="11">
        <v>0.46774193548387094</v>
      </c>
      <c r="Q6" s="11">
        <v>0.59259259259259256</v>
      </c>
      <c r="R6" s="11">
        <v>0.71282051282051284</v>
      </c>
      <c r="T6" s="55"/>
      <c r="V6" s="55"/>
    </row>
    <row r="7" spans="1:25">
      <c r="A7" s="54">
        <v>2025</v>
      </c>
      <c r="B7" s="13">
        <v>5179</v>
      </c>
      <c r="C7" s="11">
        <v>0.39719626168224298</v>
      </c>
      <c r="D7" s="11">
        <v>0.49863013698630138</v>
      </c>
      <c r="E7" s="11">
        <v>0.60187353629976581</v>
      </c>
      <c r="N7" s="54">
        <v>2025</v>
      </c>
      <c r="O7" s="13">
        <v>6844</v>
      </c>
      <c r="P7" s="11">
        <v>0.46666666666666667</v>
      </c>
      <c r="Q7" s="11">
        <v>0.58434262366846634</v>
      </c>
      <c r="R7" s="11">
        <v>0.70889047364354907</v>
      </c>
    </row>
    <row r="8" spans="1:25">
      <c r="B8" s="50"/>
      <c r="O8" s="50"/>
    </row>
    <row r="9" spans="1:25">
      <c r="A9" s="2" t="str">
        <f>CONCATENATE("Table 30a. College Enrollment Rates in the First Fall after High School Graduation for Classes ",A11," and ",A12,", Student-Weighted Totals")</f>
        <v>Table 30a. College Enrollment Rates in the First Fall after High School Graduation for Classes 2024 and 2025, Student-Weighted Totals</v>
      </c>
      <c r="B9" s="50"/>
      <c r="N9" s="2" t="str">
        <f>CONCATENATE("Table 30b. College Enrollment Rates in the First Fall after High School Graduation for Classes ",N11," and ",N12,", Student-Weighted Totals")</f>
        <v>Table 30b. College Enrollment Rates in the First Fall after High School Graduation for Classes 2024 and 2025, Student-Weighted Totals</v>
      </c>
      <c r="O9" s="50"/>
    </row>
    <row r="10" spans="1:25" ht="28.9">
      <c r="A10" s="51"/>
      <c r="B10" s="52" t="s">
        <v>360</v>
      </c>
      <c r="C10" s="53" t="s">
        <v>361</v>
      </c>
      <c r="D10" s="53" t="s">
        <v>28</v>
      </c>
      <c r="E10" s="53" t="s">
        <v>29</v>
      </c>
      <c r="F10" s="53" t="s">
        <v>362</v>
      </c>
      <c r="G10" s="53" t="s">
        <v>363</v>
      </c>
      <c r="H10" s="53" t="s">
        <v>364</v>
      </c>
      <c r="I10" s="53" t="s">
        <v>365</v>
      </c>
      <c r="N10" s="51"/>
      <c r="O10" s="52" t="s">
        <v>360</v>
      </c>
      <c r="P10" s="53" t="s">
        <v>361</v>
      </c>
      <c r="Q10" s="53" t="s">
        <v>28</v>
      </c>
      <c r="R10" s="53" t="s">
        <v>29</v>
      </c>
      <c r="S10" s="53" t="s">
        <v>362</v>
      </c>
      <c r="T10" s="53" t="s">
        <v>363</v>
      </c>
      <c r="U10" s="53" t="s">
        <v>364</v>
      </c>
      <c r="V10" s="53" t="s">
        <v>365</v>
      </c>
    </row>
    <row r="11" spans="1:25">
      <c r="A11" s="54">
        <v>2024</v>
      </c>
      <c r="B11" s="13">
        <v>990990</v>
      </c>
      <c r="C11" s="11">
        <v>0.52508804326986147</v>
      </c>
      <c r="D11" s="11">
        <v>0.4551821915458279</v>
      </c>
      <c r="E11" s="11">
        <v>6.9905851724033546E-2</v>
      </c>
      <c r="F11" s="11">
        <v>0.21208286662832118</v>
      </c>
      <c r="G11" s="11">
        <v>0.31300517664154026</v>
      </c>
      <c r="H11" s="11">
        <v>0.46471407380498292</v>
      </c>
      <c r="I11" s="11">
        <v>6.0373969464878559E-2</v>
      </c>
      <c r="N11" s="54">
        <v>2024</v>
      </c>
      <c r="O11" s="13">
        <v>1369904</v>
      </c>
      <c r="P11" s="11">
        <v>0.64095513262243198</v>
      </c>
      <c r="Q11" s="11">
        <v>0.51312500729978161</v>
      </c>
      <c r="R11" s="11">
        <v>0.12783012532265034</v>
      </c>
      <c r="S11" s="11">
        <v>0.16510718999287541</v>
      </c>
      <c r="T11" s="11">
        <v>0.47584794262955654</v>
      </c>
      <c r="U11" s="11">
        <v>0.47998107896611736</v>
      </c>
      <c r="V11" s="11">
        <v>0.16097405365631459</v>
      </c>
    </row>
    <row r="12" spans="1:25">
      <c r="A12" s="54">
        <v>2025</v>
      </c>
      <c r="B12" s="13">
        <v>965433</v>
      </c>
      <c r="C12" s="11">
        <v>0.52580862680268858</v>
      </c>
      <c r="D12" s="11">
        <v>0.45666866576965981</v>
      </c>
      <c r="E12" s="11">
        <v>6.9139961033028705E-2</v>
      </c>
      <c r="F12" s="11">
        <v>0.2144322806450577</v>
      </c>
      <c r="G12" s="11">
        <v>0.31137634615763082</v>
      </c>
      <c r="H12" s="11">
        <v>0.4651353330578093</v>
      </c>
      <c r="I12" s="11">
        <v>6.0673293744879238E-2</v>
      </c>
      <c r="N12" s="54">
        <v>2025</v>
      </c>
      <c r="O12" s="13">
        <v>1341251</v>
      </c>
      <c r="P12" s="11">
        <v>0.63224407661205839</v>
      </c>
      <c r="Q12" s="11">
        <v>0.50709225939067337</v>
      </c>
      <c r="R12" s="11">
        <v>0.1251518172213851</v>
      </c>
      <c r="S12" s="11">
        <v>0.16369866639428415</v>
      </c>
      <c r="T12" s="11">
        <v>0.46854541021777429</v>
      </c>
      <c r="U12" s="11">
        <v>0.47472322481027041</v>
      </c>
      <c r="V12" s="11">
        <v>0.15752085180178804</v>
      </c>
    </row>
    <row r="15" spans="1:25">
      <c r="A15" s="56" t="str">
        <f>CONCATENATE("Table 31a. College Enrollment Rates in the First Year after High School Graduation for Classes ",A17," and ",A18,", School Percentile Distribution")</f>
        <v>Table 31a. College Enrollment Rates in the First Year after High School Graduation for Classes 2023 and 2024, School Percentile Distribution</v>
      </c>
      <c r="B15" s="50"/>
      <c r="N15" s="56" t="str">
        <f>CONCATENATE("Table 31b. College Enrollment Rates in the First Year after High School Graduation for Classes ",N17," and ",N18,", School Percentile Distribution")</f>
        <v>Table 31b. College Enrollment Rates in the First Year after High School Graduation for Classes 2023 and 2024, School Percentile Distribution</v>
      </c>
      <c r="O15" s="50"/>
    </row>
    <row r="16" spans="1:25" ht="28.9">
      <c r="A16" s="51"/>
      <c r="B16" s="52" t="s">
        <v>356</v>
      </c>
      <c r="C16" s="52" t="s">
        <v>357</v>
      </c>
      <c r="D16" s="52" t="s">
        <v>358</v>
      </c>
      <c r="E16" s="52" t="s">
        <v>359</v>
      </c>
      <c r="N16" s="51"/>
      <c r="O16" s="52" t="s">
        <v>356</v>
      </c>
      <c r="P16" s="52" t="s">
        <v>357</v>
      </c>
      <c r="Q16" s="52" t="s">
        <v>358</v>
      </c>
      <c r="R16" s="52" t="s">
        <v>359</v>
      </c>
    </row>
    <row r="17" spans="1:22">
      <c r="A17" s="54">
        <v>2023</v>
      </c>
      <c r="B17" s="13">
        <v>5451</v>
      </c>
      <c r="C17" s="11">
        <v>0.42253521126760563</v>
      </c>
      <c r="D17" s="11">
        <v>0.52941176470588236</v>
      </c>
      <c r="E17" s="11">
        <v>0.64049586776859502</v>
      </c>
      <c r="N17" s="54">
        <v>2023</v>
      </c>
      <c r="O17" s="13">
        <v>7380</v>
      </c>
      <c r="P17" s="11">
        <v>0.5</v>
      </c>
      <c r="Q17" s="11">
        <v>0.62068965517241381</v>
      </c>
      <c r="R17" s="11">
        <v>0.74297553275453831</v>
      </c>
    </row>
    <row r="18" spans="1:22">
      <c r="A18" s="54">
        <v>2024</v>
      </c>
      <c r="B18" s="13">
        <v>5701</v>
      </c>
      <c r="C18" s="11">
        <v>0.42222222222222222</v>
      </c>
      <c r="D18" s="11">
        <v>0.52380952380952384</v>
      </c>
      <c r="E18" s="11">
        <v>0.6333333333333333</v>
      </c>
      <c r="N18" s="54">
        <v>2024</v>
      </c>
      <c r="O18" s="13">
        <v>7115</v>
      </c>
      <c r="P18" s="11">
        <v>0.5</v>
      </c>
      <c r="Q18" s="11">
        <v>0.6160714285714286</v>
      </c>
      <c r="R18" s="11">
        <v>0.73831775700934577</v>
      </c>
    </row>
    <row r="19" spans="1:22">
      <c r="B19" s="50"/>
      <c r="O19" s="50"/>
    </row>
    <row r="20" spans="1:22">
      <c r="A20" s="56" t="str">
        <f>CONCATENATE("Table 32a. College Enrollment Rates in the First Year after High School Graduation for Classes ",A22," and ",A23,", Student-Weighted Totals")</f>
        <v>Table 32a. College Enrollment Rates in the First Year after High School Graduation for Classes 2023 and 2024, Student-Weighted Totals</v>
      </c>
      <c r="B20" s="50"/>
      <c r="N20" s="56" t="str">
        <f>CONCATENATE("Table 32b. College Enrollment Rates in the First Year after High School Graduation for Classes ",N22," and ",N23,", Student-Weighted Totals")</f>
        <v>Table 32b. College Enrollment Rates in the First Year after High School Graduation for Classes 2023 and 2024, Student-Weighted Totals</v>
      </c>
      <c r="O20" s="50"/>
    </row>
    <row r="21" spans="1:22" ht="28.9">
      <c r="A21" s="51"/>
      <c r="B21" s="52" t="s">
        <v>360</v>
      </c>
      <c r="C21" s="53" t="s">
        <v>361</v>
      </c>
      <c r="D21" s="53" t="s">
        <v>28</v>
      </c>
      <c r="E21" s="53" t="s">
        <v>29</v>
      </c>
      <c r="F21" s="53" t="s">
        <v>362</v>
      </c>
      <c r="G21" s="53" t="s">
        <v>363</v>
      </c>
      <c r="H21" s="53" t="s">
        <v>364</v>
      </c>
      <c r="I21" s="53" t="s">
        <v>365</v>
      </c>
      <c r="N21" s="51"/>
      <c r="O21" s="52" t="s">
        <v>360</v>
      </c>
      <c r="P21" s="53" t="s">
        <v>361</v>
      </c>
      <c r="Q21" s="53" t="s">
        <v>28</v>
      </c>
      <c r="R21" s="53" t="s">
        <v>29</v>
      </c>
      <c r="S21" s="53" t="s">
        <v>362</v>
      </c>
      <c r="T21" s="53" t="s">
        <v>363</v>
      </c>
      <c r="U21" s="53" t="s">
        <v>364</v>
      </c>
      <c r="V21" s="53" t="s">
        <v>365</v>
      </c>
    </row>
    <row r="22" spans="1:22">
      <c r="A22" s="54">
        <v>2023</v>
      </c>
      <c r="B22" s="13">
        <v>934312</v>
      </c>
      <c r="C22" s="11">
        <v>0.56609783455633667</v>
      </c>
      <c r="D22" s="11">
        <v>0.49029981419482999</v>
      </c>
      <c r="E22" s="11">
        <v>7.5798020361506652E-2</v>
      </c>
      <c r="F22" s="11">
        <v>0.23220936903304248</v>
      </c>
      <c r="G22" s="11">
        <v>0.33388846552329415</v>
      </c>
      <c r="H22" s="11">
        <v>0.50202823039841082</v>
      </c>
      <c r="I22" s="11">
        <v>6.4069604157925827E-2</v>
      </c>
      <c r="N22" s="54">
        <v>2023</v>
      </c>
      <c r="O22" s="13">
        <v>1410061</v>
      </c>
      <c r="P22" s="11">
        <v>0.67350916024200369</v>
      </c>
      <c r="Q22" s="11">
        <v>0.53785119934527659</v>
      </c>
      <c r="R22" s="11">
        <v>0.13565796089672716</v>
      </c>
      <c r="S22" s="11">
        <v>0.17580657858064297</v>
      </c>
      <c r="T22" s="11">
        <v>0.49770258166136078</v>
      </c>
      <c r="U22" s="11">
        <v>0.50455476748878236</v>
      </c>
      <c r="V22" s="11">
        <v>0.16895439275322133</v>
      </c>
    </row>
    <row r="23" spans="1:22">
      <c r="A23" s="54">
        <v>2024</v>
      </c>
      <c r="B23" s="13">
        <v>990990</v>
      </c>
      <c r="C23" s="11">
        <v>0.56378772742409111</v>
      </c>
      <c r="D23" s="11">
        <v>0.48913611640884369</v>
      </c>
      <c r="E23" s="11">
        <v>7.4651611015247379E-2</v>
      </c>
      <c r="F23" s="11">
        <v>0.23525767162130798</v>
      </c>
      <c r="G23" s="11">
        <v>0.32853005580278305</v>
      </c>
      <c r="H23" s="11">
        <v>0.49823308005126188</v>
      </c>
      <c r="I23" s="11">
        <v>6.5554647372829192E-2</v>
      </c>
      <c r="N23" s="54">
        <v>2024</v>
      </c>
      <c r="O23" s="13">
        <v>1369904</v>
      </c>
      <c r="P23" s="11">
        <v>0.66985204802672305</v>
      </c>
      <c r="Q23" s="11">
        <v>0.5377449806701784</v>
      </c>
      <c r="R23" s="11">
        <v>0.13210706735654471</v>
      </c>
      <c r="S23" s="11">
        <v>0.17880888003830925</v>
      </c>
      <c r="T23" s="11">
        <v>0.4910431679884138</v>
      </c>
      <c r="U23" s="11">
        <v>0.50382435557528116</v>
      </c>
      <c r="V23" s="11">
        <v>0.16602769245144186</v>
      </c>
    </row>
    <row r="26" spans="1:22">
      <c r="A26" s="56" t="str">
        <f>CONCATENATE("Table 33a. College Enrollment Rates in the First Two Years after High School Graduation for Classes ",A28," and ",A29,", School Percentile Distribution")</f>
        <v>Table 33a. College Enrollment Rates in the First Two Years after High School Graduation for Classes 2022 and 2023, School Percentile Distribution</v>
      </c>
      <c r="B26" s="50"/>
      <c r="N26" s="56" t="str">
        <f>CONCATENATE("Table 33b. College Enrollment Rates in the First Two Years after High School Graduation for Classes ",N28," and ",N29,", School Percentile Distribution")</f>
        <v>Table 33b. College Enrollment Rates in the First Two Years after High School Graduation for Classes 2022 and 2023, School Percentile Distribution</v>
      </c>
      <c r="O26" s="50"/>
    </row>
    <row r="27" spans="1:22" ht="28.9">
      <c r="A27" s="51"/>
      <c r="B27" s="52" t="s">
        <v>356</v>
      </c>
      <c r="C27" s="53" t="s">
        <v>357</v>
      </c>
      <c r="D27" s="53" t="s">
        <v>358</v>
      </c>
      <c r="E27" s="53" t="s">
        <v>359</v>
      </c>
      <c r="N27" s="51"/>
      <c r="O27" s="52" t="s">
        <v>356</v>
      </c>
      <c r="P27" s="53" t="s">
        <v>357</v>
      </c>
      <c r="Q27" s="53" t="s">
        <v>358</v>
      </c>
      <c r="R27" s="53" t="s">
        <v>359</v>
      </c>
    </row>
    <row r="28" spans="1:22">
      <c r="A28" s="54">
        <v>2022</v>
      </c>
      <c r="B28" s="13">
        <v>4008</v>
      </c>
      <c r="C28" s="11">
        <v>0.43463268365817087</v>
      </c>
      <c r="D28" s="11">
        <v>0.54166666666666663</v>
      </c>
      <c r="E28" s="11">
        <v>0.66474350447814134</v>
      </c>
      <c r="G28" s="55"/>
      <c r="I28" s="55"/>
      <c r="N28" s="54">
        <v>2022</v>
      </c>
      <c r="O28" s="13">
        <v>8744</v>
      </c>
      <c r="P28" s="11">
        <v>0.51557647515527949</v>
      </c>
      <c r="Q28" s="11">
        <v>0.6292134831460674</v>
      </c>
      <c r="R28" s="11">
        <v>0.75074795792133497</v>
      </c>
      <c r="T28" s="55"/>
      <c r="V28" s="55"/>
    </row>
    <row r="29" spans="1:22">
      <c r="A29" s="54">
        <v>2023</v>
      </c>
      <c r="B29" s="13">
        <v>5451</v>
      </c>
      <c r="C29" s="11">
        <v>0.46341463414634149</v>
      </c>
      <c r="D29" s="11">
        <v>0.56737588652482274</v>
      </c>
      <c r="E29" s="11">
        <v>0.67491166077738518</v>
      </c>
      <c r="N29" s="54">
        <v>2023</v>
      </c>
      <c r="O29" s="13">
        <v>7380</v>
      </c>
      <c r="P29" s="11">
        <v>0.53555802743789394</v>
      </c>
      <c r="Q29" s="11">
        <v>0.65732864330058716</v>
      </c>
      <c r="R29" s="11">
        <v>0.77300613496932513</v>
      </c>
    </row>
    <row r="30" spans="1:22">
      <c r="B30" s="50"/>
      <c r="O30" s="50"/>
    </row>
    <row r="31" spans="1:22">
      <c r="A31" s="2" t="str">
        <f>CONCATENATE("Table 34a. College Enrollment Rates in the First Two Years after High School Graduation for Classes ",A33," and ",A34,", Student-Weighted Totals")</f>
        <v>Table 34a. College Enrollment Rates in the First Two Years after High School Graduation for Classes 2022 and 2023, Student-Weighted Totals</v>
      </c>
      <c r="B31" s="50"/>
      <c r="N31" s="2" t="str">
        <f>CONCATENATE("Table 34b. College Enrollment Rates in the First Two Years after High School Graduation for Classes ",N33," and ",N34,", Student-Weighted Totals")</f>
        <v>Table 34b. College Enrollment Rates in the First Two Years after High School Graduation for Classes 2022 and 2023, Student-Weighted Totals</v>
      </c>
      <c r="O31" s="50"/>
    </row>
    <row r="32" spans="1:22" ht="28.9">
      <c r="A32" s="51"/>
      <c r="B32" s="52" t="s">
        <v>360</v>
      </c>
      <c r="C32" s="53" t="s">
        <v>361</v>
      </c>
      <c r="D32" s="53" t="s">
        <v>28</v>
      </c>
      <c r="E32" s="53" t="s">
        <v>29</v>
      </c>
      <c r="F32" s="53" t="s">
        <v>362</v>
      </c>
      <c r="G32" s="53" t="s">
        <v>363</v>
      </c>
      <c r="H32" s="53" t="s">
        <v>364</v>
      </c>
      <c r="I32" s="53" t="s">
        <v>365</v>
      </c>
      <c r="N32" s="51"/>
      <c r="O32" s="52" t="s">
        <v>360</v>
      </c>
      <c r="P32" s="53" t="s">
        <v>361</v>
      </c>
      <c r="Q32" s="53" t="s">
        <v>28</v>
      </c>
      <c r="R32" s="53" t="s">
        <v>29</v>
      </c>
      <c r="S32" s="53" t="s">
        <v>362</v>
      </c>
      <c r="T32" s="53" t="s">
        <v>363</v>
      </c>
      <c r="U32" s="53" t="s">
        <v>364</v>
      </c>
      <c r="V32" s="53" t="s">
        <v>365</v>
      </c>
    </row>
    <row r="33" spans="1:22">
      <c r="A33" s="54">
        <v>2022</v>
      </c>
      <c r="B33" s="13">
        <v>679854</v>
      </c>
      <c r="C33" s="11">
        <v>0.58636266021822336</v>
      </c>
      <c r="D33" s="11">
        <v>0.51377354549653309</v>
      </c>
      <c r="E33" s="11">
        <v>7.2589114721690245E-2</v>
      </c>
      <c r="F33" s="11">
        <v>0.26681022690165829</v>
      </c>
      <c r="G33" s="11">
        <v>0.31955243331656502</v>
      </c>
      <c r="H33" s="11">
        <v>0.51923354131916555</v>
      </c>
      <c r="I33" s="11">
        <v>6.7129118899057733E-2</v>
      </c>
      <c r="N33" s="54">
        <v>2022</v>
      </c>
      <c r="O33" s="13">
        <v>1635859</v>
      </c>
      <c r="P33" s="11">
        <v>0.68919387306607716</v>
      </c>
      <c r="Q33" s="11">
        <v>0.55457591393879302</v>
      </c>
      <c r="R33" s="11">
        <v>0.13461795912728419</v>
      </c>
      <c r="S33" s="11">
        <v>0.20046776647620607</v>
      </c>
      <c r="T33" s="11">
        <v>0.48872610658987115</v>
      </c>
      <c r="U33" s="11">
        <v>0.52077838004375687</v>
      </c>
      <c r="V33" s="11">
        <v>0.16841549302232039</v>
      </c>
    </row>
    <row r="34" spans="1:22">
      <c r="A34" s="54">
        <v>2023</v>
      </c>
      <c r="B34" s="13">
        <v>934312</v>
      </c>
      <c r="C34" s="11">
        <v>0.60447259587803648</v>
      </c>
      <c r="D34" s="11">
        <v>0.52377364306569973</v>
      </c>
      <c r="E34" s="11">
        <v>8.0698952812336772E-2</v>
      </c>
      <c r="F34" s="11">
        <v>0.25755422171608627</v>
      </c>
      <c r="G34" s="11">
        <v>0.3469183741619502</v>
      </c>
      <c r="H34" s="11">
        <v>0.53367932767640791</v>
      </c>
      <c r="I34" s="11">
        <v>7.0793268201628581E-2</v>
      </c>
      <c r="N34" s="54">
        <v>2023</v>
      </c>
      <c r="O34" s="13">
        <v>1410061</v>
      </c>
      <c r="P34" s="11">
        <v>0.70763179748961214</v>
      </c>
      <c r="Q34" s="11">
        <v>0.56731233613297583</v>
      </c>
      <c r="R34" s="11">
        <v>0.14031946135663634</v>
      </c>
      <c r="S34" s="11">
        <v>0.19590358147626238</v>
      </c>
      <c r="T34" s="11">
        <v>0.51172821601334972</v>
      </c>
      <c r="U34" s="11">
        <v>0.53151884918453884</v>
      </c>
      <c r="V34" s="11">
        <v>0.17611294830507332</v>
      </c>
    </row>
    <row r="37" spans="1:22">
      <c r="A37" s="56" t="str">
        <f>CONCATENATE("Table 35a. Persistence Rates from First to Second Year of College for Class of ",A39," and ",A40,", School Percentile Distribution")</f>
        <v>Table 35a. Persistence Rates from First to Second Year of College for Class of 2022 and 2023, School Percentile Distribution</v>
      </c>
      <c r="B37" s="50"/>
      <c r="N37" s="56" t="str">
        <f>CONCATENATE("Table 35b. Persistence Rates from First to Second Year of College for Class of ",N39," and ",N40,", School Percentile Distribution")</f>
        <v>Table 35b. Persistence Rates from First to Second Year of College for Class of 2022 and 2023, School Percentile Distribution</v>
      </c>
      <c r="O37" s="50"/>
    </row>
    <row r="38" spans="1:22" ht="28.9">
      <c r="A38" s="51"/>
      <c r="B38" s="52" t="s">
        <v>356</v>
      </c>
      <c r="C38" s="53" t="s">
        <v>357</v>
      </c>
      <c r="D38" s="53" t="s">
        <v>358</v>
      </c>
      <c r="E38" s="53" t="s">
        <v>359</v>
      </c>
      <c r="N38" s="51"/>
      <c r="O38" s="52" t="s">
        <v>356</v>
      </c>
      <c r="P38" s="53" t="s">
        <v>357</v>
      </c>
      <c r="Q38" s="53" t="s">
        <v>358</v>
      </c>
      <c r="R38" s="53" t="s">
        <v>359</v>
      </c>
    </row>
    <row r="39" spans="1:22">
      <c r="A39" s="54">
        <v>2022</v>
      </c>
      <c r="B39" s="13">
        <v>4008</v>
      </c>
      <c r="C39" s="11">
        <v>0.66666666666666663</v>
      </c>
      <c r="D39" s="11">
        <v>0.75438596491228072</v>
      </c>
      <c r="E39" s="11">
        <v>0.82352941176470584</v>
      </c>
      <c r="G39" s="55"/>
      <c r="I39" s="55"/>
      <c r="N39" s="54">
        <v>2022</v>
      </c>
      <c r="O39" s="13">
        <v>8744</v>
      </c>
      <c r="P39" s="11">
        <v>0.75862068965517238</v>
      </c>
      <c r="Q39" s="11">
        <v>0.83745583038869253</v>
      </c>
      <c r="R39" s="11">
        <v>0.9</v>
      </c>
      <c r="T39" s="55"/>
      <c r="V39" s="55"/>
    </row>
    <row r="40" spans="1:22">
      <c r="A40" s="54">
        <v>2023</v>
      </c>
      <c r="B40" s="13">
        <v>5451</v>
      </c>
      <c r="C40" s="11">
        <v>0.6875</v>
      </c>
      <c r="D40" s="11">
        <v>0.76708437110834371</v>
      </c>
      <c r="E40" s="11">
        <v>0.82926829268292679</v>
      </c>
      <c r="N40" s="54">
        <v>2023</v>
      </c>
      <c r="O40" s="13">
        <v>7380</v>
      </c>
      <c r="P40" s="11">
        <v>0.77966101694915257</v>
      </c>
      <c r="Q40" s="11">
        <v>0.8571428571428571</v>
      </c>
      <c r="R40" s="11">
        <v>0.91139240506329111</v>
      </c>
    </row>
    <row r="41" spans="1:22">
      <c r="B41" s="50"/>
      <c r="O41" s="50"/>
    </row>
    <row r="42" spans="1:22">
      <c r="A42" s="56" t="str">
        <f>CONCATENATE("Table 36a. Persistence Rates from First to Second Year of College for Class of ",A44," and ",A45,", Student-Weighted Totals")</f>
        <v>Table 36a. Persistence Rates from First to Second Year of College for Class of 2022 and 2023, Student-Weighted Totals</v>
      </c>
      <c r="B42" s="50"/>
      <c r="N42" s="56" t="str">
        <f>CONCATENATE("Table 36b. Persistence Rates from First to Second Year of College for Class of ",N44," and ",N45,", Student-Weighted Totals")</f>
        <v>Table 36b. Persistence Rates from First to Second Year of College for Class of 2022 and 2023, Student-Weighted Totals</v>
      </c>
      <c r="O42" s="50"/>
    </row>
    <row r="43" spans="1:22" ht="43.15">
      <c r="A43" s="51"/>
      <c r="B43" s="52" t="s">
        <v>366</v>
      </c>
      <c r="C43" s="53" t="s">
        <v>361</v>
      </c>
      <c r="D43" s="53" t="s">
        <v>28</v>
      </c>
      <c r="E43" s="53" t="s">
        <v>29</v>
      </c>
      <c r="F43" s="53" t="s">
        <v>362</v>
      </c>
      <c r="G43" s="53" t="s">
        <v>363</v>
      </c>
      <c r="H43" s="53" t="s">
        <v>364</v>
      </c>
      <c r="I43" s="53" t="s">
        <v>365</v>
      </c>
      <c r="N43" s="51"/>
      <c r="O43" s="52" t="s">
        <v>366</v>
      </c>
      <c r="P43" s="53" t="s">
        <v>361</v>
      </c>
      <c r="Q43" s="53" t="s">
        <v>28</v>
      </c>
      <c r="R43" s="53" t="s">
        <v>29</v>
      </c>
      <c r="S43" s="53" t="s">
        <v>362</v>
      </c>
      <c r="T43" s="53" t="s">
        <v>363</v>
      </c>
      <c r="U43" s="53" t="s">
        <v>364</v>
      </c>
      <c r="V43" s="53" t="s">
        <v>365</v>
      </c>
    </row>
    <row r="44" spans="1:22">
      <c r="A44" s="54">
        <v>2022</v>
      </c>
      <c r="B44" s="13">
        <v>371535</v>
      </c>
      <c r="C44" s="11">
        <v>0.77403743927220858</v>
      </c>
      <c r="D44" s="11">
        <v>0.76680601929639725</v>
      </c>
      <c r="E44" s="11">
        <v>0.82523596189813408</v>
      </c>
      <c r="F44" s="11">
        <v>0.67719083595876794</v>
      </c>
      <c r="G44" s="11">
        <v>0.85012255490940547</v>
      </c>
      <c r="H44" s="11">
        <v>0.76809090606554753</v>
      </c>
      <c r="I44" s="11">
        <v>0.82198263245194658</v>
      </c>
      <c r="N44" s="54">
        <v>2022</v>
      </c>
      <c r="O44" s="13">
        <v>1067519</v>
      </c>
      <c r="P44" s="11">
        <v>0.86237247299579678</v>
      </c>
      <c r="Q44" s="11">
        <v>0.84902231846020271</v>
      </c>
      <c r="R44" s="11">
        <v>0.91631959201019975</v>
      </c>
      <c r="S44" s="11">
        <v>0.72248919938750955</v>
      </c>
      <c r="T44" s="11">
        <v>0.91518472971560494</v>
      </c>
      <c r="U44" s="11">
        <v>0.84283955938042998</v>
      </c>
      <c r="V44" s="11">
        <v>0.9223111517646162</v>
      </c>
    </row>
    <row r="45" spans="1:22">
      <c r="A45" s="54">
        <v>2023</v>
      </c>
      <c r="B45" s="13">
        <v>528912</v>
      </c>
      <c r="C45" s="11">
        <v>0.78784561514959006</v>
      </c>
      <c r="D45" s="11">
        <v>0.77864756719705386</v>
      </c>
      <c r="E45" s="11">
        <v>0.84734322710007204</v>
      </c>
      <c r="F45" s="11">
        <v>0.68395435019082207</v>
      </c>
      <c r="G45" s="11">
        <v>0.8600988600956545</v>
      </c>
      <c r="H45" s="11">
        <v>0.78096624887272381</v>
      </c>
      <c r="I45" s="11">
        <v>0.84175005429244421</v>
      </c>
      <c r="N45" s="54">
        <v>2023</v>
      </c>
      <c r="O45" s="13">
        <v>949689</v>
      </c>
      <c r="P45" s="11">
        <v>0.87631635198470237</v>
      </c>
      <c r="Q45" s="11">
        <v>0.86383360825313193</v>
      </c>
      <c r="R45" s="11">
        <v>0.92580742971257701</v>
      </c>
      <c r="S45" s="11">
        <v>0.73771470524167193</v>
      </c>
      <c r="T45" s="11">
        <v>0.92527547375215702</v>
      </c>
      <c r="U45" s="11">
        <v>0.85732718816281606</v>
      </c>
      <c r="V45" s="11">
        <v>0.9330243959770983</v>
      </c>
    </row>
    <row r="48" spans="1:22">
      <c r="A48" s="56" t="str">
        <f>CONCATENATE("Table 37a. Six-Year Completion Rates for Class of ",,A50," and ",A51,", School Percentile Distribution")</f>
        <v>Table 37a. Six-Year Completion Rates for Class of 2018 and 2019, School Percentile Distribution</v>
      </c>
      <c r="B48" s="50"/>
      <c r="N48" s="56" t="str">
        <f>CONCATENATE("Table 37b. Six-Year Completion Rates for Class of ",N50," and ",N51,", School Percentile Distribution")</f>
        <v>Table 37b. Six-Year Completion Rates for Class of 2018 and 2019, School Percentile Distribution</v>
      </c>
      <c r="O48" s="50"/>
    </row>
    <row r="49" spans="1:22" ht="28.9">
      <c r="A49" s="51"/>
      <c r="B49" s="52" t="s">
        <v>356</v>
      </c>
      <c r="C49" s="53" t="s">
        <v>357</v>
      </c>
      <c r="D49" s="53" t="s">
        <v>358</v>
      </c>
      <c r="E49" s="53" t="s">
        <v>359</v>
      </c>
      <c r="N49" s="51"/>
      <c r="O49" s="52" t="s">
        <v>356</v>
      </c>
      <c r="P49" s="53" t="s">
        <v>357</v>
      </c>
      <c r="Q49" s="53" t="s">
        <v>358</v>
      </c>
      <c r="R49" s="53" t="s">
        <v>359</v>
      </c>
    </row>
    <row r="50" spans="1:22">
      <c r="A50" s="54">
        <v>2018</v>
      </c>
      <c r="B50" s="13">
        <v>4733</v>
      </c>
      <c r="C50" s="11">
        <v>0.18579234972677597</v>
      </c>
      <c r="D50" s="11">
        <v>0.26532769556025371</v>
      </c>
      <c r="E50" s="11">
        <v>0.34343434343434343</v>
      </c>
      <c r="G50" s="55"/>
      <c r="I50" s="55"/>
      <c r="N50" s="54">
        <v>2018</v>
      </c>
      <c r="O50" s="13">
        <v>7469</v>
      </c>
      <c r="P50" s="11">
        <v>0.33093525179856115</v>
      </c>
      <c r="Q50" s="11">
        <v>0.43455497382198954</v>
      </c>
      <c r="R50" s="11">
        <v>0.55118110236220474</v>
      </c>
      <c r="T50" s="55"/>
      <c r="V50" s="55"/>
    </row>
    <row r="51" spans="1:22">
      <c r="A51" s="54">
        <v>2019</v>
      </c>
      <c r="B51" s="13">
        <v>4716</v>
      </c>
      <c r="C51" s="11">
        <v>0.18181818181818182</v>
      </c>
      <c r="D51" s="11">
        <v>0.26174404684637909</v>
      </c>
      <c r="E51" s="11">
        <v>0.34093509465363014</v>
      </c>
      <c r="N51" s="54">
        <v>2019</v>
      </c>
      <c r="O51" s="13">
        <v>7497</v>
      </c>
      <c r="P51" s="11">
        <v>0.3188405797101449</v>
      </c>
      <c r="Q51" s="11">
        <v>0.42307692307692307</v>
      </c>
      <c r="R51" s="11">
        <v>0.54545454545454541</v>
      </c>
    </row>
    <row r="52" spans="1:22">
      <c r="A52" s="58"/>
      <c r="B52" s="59"/>
      <c r="C52" s="61"/>
      <c r="D52" s="61"/>
      <c r="E52" s="61"/>
      <c r="N52" s="58"/>
      <c r="O52" s="59"/>
      <c r="P52" s="61"/>
      <c r="Q52" s="61"/>
      <c r="R52" s="61"/>
    </row>
    <row r="53" spans="1:22">
      <c r="A53" s="56" t="str">
        <f>CONCATENATE("Table 38a. Six-Year Completion Rates for Class of ",A55," and ",A56, ", Student-Weighted Totals")</f>
        <v>Table 38a. Six-Year Completion Rates for Class of 2018 and 2019, Student-Weighted Totals</v>
      </c>
      <c r="B53" s="50"/>
      <c r="N53" s="56" t="str">
        <f>CONCATENATE("Table 38b. Six-Year Completion Rates for Class of ",,N55," and ",N56, ", Student-Weighted Totals")</f>
        <v>Table 38b. Six-Year Completion Rates for Class of 2018 and 2019, Student-Weighted Totals</v>
      </c>
      <c r="O53" s="50"/>
    </row>
    <row r="54" spans="1:22" ht="28.9">
      <c r="A54" s="51"/>
      <c r="B54" s="52" t="s">
        <v>360</v>
      </c>
      <c r="C54" s="53" t="s">
        <v>361</v>
      </c>
      <c r="D54" s="53" t="s">
        <v>28</v>
      </c>
      <c r="E54" s="53" t="s">
        <v>29</v>
      </c>
      <c r="F54" s="53" t="s">
        <v>362</v>
      </c>
      <c r="G54" s="53" t="s">
        <v>363</v>
      </c>
      <c r="H54" s="53" t="s">
        <v>364</v>
      </c>
      <c r="I54" s="53" t="s">
        <v>365</v>
      </c>
      <c r="N54" s="51"/>
      <c r="O54" s="52" t="s">
        <v>360</v>
      </c>
      <c r="P54" s="53" t="s">
        <v>361</v>
      </c>
      <c r="Q54" s="53" t="s">
        <v>28</v>
      </c>
      <c r="R54" s="53" t="s">
        <v>29</v>
      </c>
      <c r="S54" s="53" t="s">
        <v>362</v>
      </c>
      <c r="T54" s="53" t="s">
        <v>363</v>
      </c>
      <c r="U54" s="53" t="s">
        <v>364</v>
      </c>
      <c r="V54" s="53" t="s">
        <v>365</v>
      </c>
    </row>
    <row r="55" spans="1:22">
      <c r="A55" s="54">
        <v>2018</v>
      </c>
      <c r="B55" s="13">
        <v>834815</v>
      </c>
      <c r="C55" s="11">
        <v>0.28471697322161199</v>
      </c>
      <c r="D55" s="11">
        <v>0.23732323928055918</v>
      </c>
      <c r="E55" s="11">
        <v>4.7393733941052806E-2</v>
      </c>
      <c r="F55" s="11">
        <v>9.0319412085312314E-2</v>
      </c>
      <c r="G55" s="11">
        <v>0.19420949551697084</v>
      </c>
      <c r="H55" s="11">
        <v>0.24749315716655787</v>
      </c>
      <c r="I55" s="11">
        <v>3.7223816055054114E-2</v>
      </c>
      <c r="N55" s="54">
        <v>2018</v>
      </c>
      <c r="O55" s="13">
        <v>1474291</v>
      </c>
      <c r="P55" s="11">
        <v>0.48586269603490762</v>
      </c>
      <c r="Q55" s="11">
        <v>0.36905671946718793</v>
      </c>
      <c r="R55" s="11">
        <v>0.11680597656771967</v>
      </c>
      <c r="S55" s="11">
        <v>9.115296776552255E-2</v>
      </c>
      <c r="T55" s="11">
        <v>0.3946900577972734</v>
      </c>
      <c r="U55" s="11">
        <v>0.35618273461616468</v>
      </c>
      <c r="V55" s="11">
        <v>0.12967996141874297</v>
      </c>
    </row>
    <row r="56" spans="1:22">
      <c r="A56" s="54">
        <v>2019</v>
      </c>
      <c r="B56" s="13">
        <v>844415</v>
      </c>
      <c r="C56" s="11">
        <v>0.28055280874925242</v>
      </c>
      <c r="D56" s="11">
        <v>0.23410408389239887</v>
      </c>
      <c r="E56" s="11">
        <v>4.6448724856853564E-2</v>
      </c>
      <c r="F56" s="11">
        <v>9.1532007366046317E-2</v>
      </c>
      <c r="G56" s="11">
        <v>0.18883013684029773</v>
      </c>
      <c r="H56" s="11">
        <v>0.24347033153129682</v>
      </c>
      <c r="I56" s="11">
        <v>3.7082477217955628E-2</v>
      </c>
      <c r="N56" s="54">
        <v>2019</v>
      </c>
      <c r="O56" s="13">
        <v>1484563</v>
      </c>
      <c r="P56" s="11">
        <v>0.47848491441589208</v>
      </c>
      <c r="Q56" s="11">
        <v>0.36644992499476275</v>
      </c>
      <c r="R56" s="11">
        <v>0.11203498942112931</v>
      </c>
      <c r="S56" s="11">
        <v>9.0970204699968943E-2</v>
      </c>
      <c r="T56" s="11">
        <v>0.38750595293025625</v>
      </c>
      <c r="U56" s="11">
        <v>0.34950150313593964</v>
      </c>
      <c r="V56" s="11">
        <v>0.12898341127995241</v>
      </c>
    </row>
  </sheetData>
  <mergeCells count="2">
    <mergeCell ref="A2:L2"/>
    <mergeCell ref="N2:Y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FF3DC-E64B-4F95-8B54-AA4EAE9FF7E9}">
  <dimension ref="A1:Y56"/>
  <sheetViews>
    <sheetView zoomScale="90" zoomScaleNormal="90" workbookViewId="0">
      <selection activeCell="M17" sqref="M17"/>
    </sheetView>
  </sheetViews>
  <sheetFormatPr defaultRowHeight="14.45"/>
  <cols>
    <col min="2" max="2" width="14.5703125" customWidth="1"/>
    <col min="3" max="3" width="11.5703125" customWidth="1"/>
    <col min="4" max="4" width="10.5703125" customWidth="1"/>
    <col min="5" max="5" width="11.7109375" customWidth="1"/>
    <col min="13" max="13" width="13.7109375" customWidth="1"/>
    <col min="15" max="15" width="13.28515625" customWidth="1"/>
    <col min="16" max="16" width="11.5703125" customWidth="1"/>
    <col min="17" max="17" width="10.28515625" customWidth="1"/>
    <col min="18" max="18" width="10.140625" customWidth="1"/>
  </cols>
  <sheetData>
    <row r="1" spans="1:25" ht="28.9">
      <c r="A1" s="45" t="s">
        <v>370</v>
      </c>
      <c r="B1" s="46"/>
      <c r="C1" s="46"/>
      <c r="D1" s="46"/>
      <c r="E1" s="46"/>
      <c r="F1" s="46"/>
      <c r="G1" s="46"/>
      <c r="H1" s="46"/>
      <c r="I1" s="46"/>
      <c r="J1" s="46"/>
      <c r="K1" s="46"/>
      <c r="L1" s="46"/>
      <c r="M1" s="46"/>
      <c r="N1" s="46"/>
      <c r="O1" s="46"/>
      <c r="P1" s="46"/>
      <c r="Q1" s="46"/>
      <c r="R1" s="46"/>
      <c r="S1" s="46"/>
      <c r="T1" s="46"/>
      <c r="U1" s="46"/>
      <c r="V1" s="46"/>
      <c r="W1" s="46"/>
      <c r="X1" s="46"/>
      <c r="Y1" s="46"/>
    </row>
    <row r="2" spans="1:25" ht="18">
      <c r="A2" s="109" t="s">
        <v>371</v>
      </c>
      <c r="B2" s="110"/>
      <c r="C2" s="110"/>
      <c r="D2" s="110"/>
      <c r="E2" s="110"/>
      <c r="F2" s="110"/>
      <c r="G2" s="110"/>
      <c r="H2" s="110"/>
      <c r="I2" s="110"/>
      <c r="J2" s="110"/>
      <c r="K2" s="110"/>
      <c r="L2" s="110"/>
      <c r="M2" s="47"/>
      <c r="N2" s="109" t="s">
        <v>372</v>
      </c>
      <c r="O2" s="110"/>
      <c r="P2" s="110"/>
      <c r="Q2" s="110"/>
      <c r="R2" s="110"/>
      <c r="S2" s="110"/>
      <c r="T2" s="110"/>
      <c r="U2" s="110"/>
      <c r="V2" s="110"/>
      <c r="W2" s="110"/>
      <c r="X2" s="110"/>
      <c r="Y2" s="110"/>
    </row>
    <row r="3" spans="1:25">
      <c r="A3" s="48"/>
      <c r="B3" s="48"/>
      <c r="C3" s="48"/>
      <c r="D3" s="48"/>
      <c r="E3" s="48"/>
      <c r="F3" s="48"/>
      <c r="G3" s="48"/>
      <c r="H3" s="48"/>
      <c r="I3" s="48"/>
      <c r="J3" s="48"/>
      <c r="K3" s="48"/>
      <c r="L3" s="48"/>
      <c r="M3" s="49"/>
      <c r="N3" s="48"/>
      <c r="O3" s="48"/>
      <c r="P3" s="48"/>
      <c r="Q3" s="48"/>
      <c r="R3" s="48"/>
      <c r="S3" s="48"/>
      <c r="T3" s="48"/>
      <c r="U3" s="48"/>
      <c r="V3" s="48"/>
      <c r="W3" s="48"/>
      <c r="X3" s="48"/>
      <c r="Y3" s="48"/>
    </row>
    <row r="4" spans="1:25">
      <c r="A4" s="2" t="str">
        <f>CONCATENATE("Table 39a. College Enrollment Rates in the First Fall after High School Graduation for Classes ",A6," and ",A7,", School Percentile Distribution")</f>
        <v>Table 39a. College Enrollment Rates in the First Fall after High School Graduation for Classes 2024 and 2025, School Percentile Distribution</v>
      </c>
      <c r="B4" s="50"/>
      <c r="N4" s="2" t="str">
        <f>CONCATENATE("Table 39b. College Enrollment Rates in the First Fall after High School Graduation for Classes ",N6," and ",N7,", School Percentile Distribution")</f>
        <v>Table 39b. College Enrollment Rates in the First Fall after High School Graduation for Classes 2024 and 2025, School Percentile Distribution</v>
      </c>
      <c r="O4" s="50"/>
    </row>
    <row r="5" spans="1:25" ht="28.9">
      <c r="A5" s="51"/>
      <c r="B5" s="52" t="s">
        <v>356</v>
      </c>
      <c r="C5" s="53" t="s">
        <v>357</v>
      </c>
      <c r="D5" s="53" t="s">
        <v>358</v>
      </c>
      <c r="E5" s="53" t="s">
        <v>359</v>
      </c>
      <c r="N5" s="51"/>
      <c r="O5" s="52" t="s">
        <v>356</v>
      </c>
      <c r="P5" s="53" t="s">
        <v>357</v>
      </c>
      <c r="Q5" s="53" t="s">
        <v>358</v>
      </c>
      <c r="R5" s="53" t="s">
        <v>359</v>
      </c>
    </row>
    <row r="6" spans="1:25">
      <c r="A6" s="54">
        <v>2024</v>
      </c>
      <c r="B6" s="13">
        <v>4306</v>
      </c>
      <c r="C6" s="11">
        <v>0.40168539325842695</v>
      </c>
      <c r="D6" s="11">
        <v>0.52105496453900713</v>
      </c>
      <c r="E6" s="11">
        <v>0.64772727272727271</v>
      </c>
      <c r="G6" s="55"/>
      <c r="I6" s="55"/>
      <c r="N6" s="54">
        <v>2024</v>
      </c>
      <c r="O6" s="13">
        <v>8510</v>
      </c>
      <c r="P6" s="11">
        <v>0.4358974358974359</v>
      </c>
      <c r="Q6" s="11">
        <v>0.55053342412892969</v>
      </c>
      <c r="R6" s="11">
        <v>0.67796610169491522</v>
      </c>
      <c r="T6" s="55"/>
      <c r="V6" s="55"/>
    </row>
    <row r="7" spans="1:25">
      <c r="A7" s="54">
        <v>2025</v>
      </c>
      <c r="B7" s="13">
        <v>4184</v>
      </c>
      <c r="C7" s="11">
        <v>0.40390047805302043</v>
      </c>
      <c r="D7" s="11">
        <v>0.52114244486966332</v>
      </c>
      <c r="E7" s="11">
        <v>0.64260939008546192</v>
      </c>
      <c r="N7" s="54">
        <v>2025</v>
      </c>
      <c r="O7" s="13">
        <v>7839</v>
      </c>
      <c r="P7" s="11">
        <v>0.44630071599045346</v>
      </c>
      <c r="Q7" s="11">
        <v>0.55555555555555558</v>
      </c>
      <c r="R7" s="11">
        <v>0.68085106382978722</v>
      </c>
    </row>
    <row r="8" spans="1:25">
      <c r="B8" s="50"/>
      <c r="O8" s="50"/>
    </row>
    <row r="9" spans="1:25">
      <c r="A9" s="2" t="str">
        <f>CONCATENATE("Table 40a. College Enrollment Rates in the First Fall after High School Graduation for Classes ",A11," and ",A12,", Student-Weighted Totals")</f>
        <v>Table 40a. College Enrollment Rates in the First Fall after High School Graduation for Classes 2024 and 2025, Student-Weighted Totals</v>
      </c>
      <c r="B9" s="50"/>
      <c r="N9" s="2" t="str">
        <f>CONCATENATE("Table 40b. College Enrollment Rates in the First Fall after High School Graduation for Classes ",N11," and ",N12,", Student-Weighted Totals")</f>
        <v>Table 40b. College Enrollment Rates in the First Fall after High School Graduation for Classes 2024 and 2025, Student-Weighted Totals</v>
      </c>
      <c r="O9" s="50"/>
    </row>
    <row r="10" spans="1:25" ht="28.9">
      <c r="A10" s="51"/>
      <c r="B10" s="52" t="s">
        <v>360</v>
      </c>
      <c r="C10" s="53" t="s">
        <v>361</v>
      </c>
      <c r="D10" s="53" t="s">
        <v>28</v>
      </c>
      <c r="E10" s="53" t="s">
        <v>29</v>
      </c>
      <c r="F10" s="53" t="s">
        <v>362</v>
      </c>
      <c r="G10" s="53" t="s">
        <v>363</v>
      </c>
      <c r="H10" s="53" t="s">
        <v>364</v>
      </c>
      <c r="I10" s="53" t="s">
        <v>365</v>
      </c>
      <c r="N10" s="51"/>
      <c r="O10" s="52" t="s">
        <v>360</v>
      </c>
      <c r="P10" s="53" t="s">
        <v>361</v>
      </c>
      <c r="Q10" s="53" t="s">
        <v>28</v>
      </c>
      <c r="R10" s="53" t="s">
        <v>29</v>
      </c>
      <c r="S10" s="53" t="s">
        <v>362</v>
      </c>
      <c r="T10" s="53" t="s">
        <v>363</v>
      </c>
      <c r="U10" s="53" t="s">
        <v>364</v>
      </c>
      <c r="V10" s="53" t="s">
        <v>365</v>
      </c>
    </row>
    <row r="11" spans="1:25">
      <c r="A11" s="54">
        <v>2024</v>
      </c>
      <c r="B11" s="13">
        <v>1038687</v>
      </c>
      <c r="C11" s="11">
        <v>0.54932717941015918</v>
      </c>
      <c r="D11" s="11">
        <v>0.47400034851692568</v>
      </c>
      <c r="E11" s="11">
        <v>7.5326830893233471E-2</v>
      </c>
      <c r="F11" s="11">
        <v>0.21045127165353952</v>
      </c>
      <c r="G11" s="11">
        <v>0.33887590775661963</v>
      </c>
      <c r="H11" s="11">
        <v>0.47779167352628849</v>
      </c>
      <c r="I11" s="11">
        <v>7.1535505883870698E-2</v>
      </c>
      <c r="N11" s="54">
        <v>2024</v>
      </c>
      <c r="O11" s="13">
        <v>1322207</v>
      </c>
      <c r="P11" s="11">
        <v>0.62609334241915227</v>
      </c>
      <c r="Q11" s="11">
        <v>0.50043223186687102</v>
      </c>
      <c r="R11" s="11">
        <v>0.12566111055228116</v>
      </c>
      <c r="S11" s="11">
        <v>0.1646943330355988</v>
      </c>
      <c r="T11" s="11">
        <v>0.46139900938355338</v>
      </c>
      <c r="U11" s="11">
        <v>0.47025843910976117</v>
      </c>
      <c r="V11" s="11">
        <v>0.15583490330939104</v>
      </c>
    </row>
    <row r="12" spans="1:25">
      <c r="A12" s="54">
        <v>2025</v>
      </c>
      <c r="B12" s="13">
        <v>1053545</v>
      </c>
      <c r="C12" s="11">
        <v>0.54371574066603701</v>
      </c>
      <c r="D12" s="11">
        <v>0.46950438756768814</v>
      </c>
      <c r="E12" s="11">
        <v>7.4211353098348906E-2</v>
      </c>
      <c r="F12" s="11">
        <v>0.20758771575964957</v>
      </c>
      <c r="G12" s="11">
        <v>0.33612802490638749</v>
      </c>
      <c r="H12" s="11">
        <v>0.47349662330512698</v>
      </c>
      <c r="I12" s="11">
        <v>7.0219117360910077E-2</v>
      </c>
      <c r="N12" s="54">
        <v>2025</v>
      </c>
      <c r="O12" s="13">
        <v>1253139</v>
      </c>
      <c r="P12" s="11">
        <v>0.62467292135988106</v>
      </c>
      <c r="Q12" s="11">
        <v>0.49984638575608931</v>
      </c>
      <c r="R12" s="11">
        <v>0.12482653560379176</v>
      </c>
      <c r="S12" s="11">
        <v>0.16588582750995701</v>
      </c>
      <c r="T12" s="11">
        <v>0.45878709384992405</v>
      </c>
      <c r="U12" s="11">
        <v>0.46836783469351762</v>
      </c>
      <c r="V12" s="11">
        <v>0.15630508666636342</v>
      </c>
    </row>
    <row r="15" spans="1:25">
      <c r="A15" s="56" t="str">
        <f>CONCATENATE("Table 41a. College Enrollment Rates in the First Year after High School Graduation for Classes ",A17," and ",A18,", School Percentile Distribution")</f>
        <v>Table 41a. College Enrollment Rates in the First Year after High School Graduation for Classes 2023 and 2024, School Percentile Distribution</v>
      </c>
      <c r="B15" s="50"/>
      <c r="N15" s="56" t="str">
        <f>CONCATENATE("Table 41b. College Enrollment Rates in the First Year after High School Graduation for Classes ",N17," and ",N18,", School Percentile Distribution")</f>
        <v>Table 41b. College Enrollment Rates in the First Year after High School Graduation for Classes 2023 and 2024, School Percentile Distribution</v>
      </c>
      <c r="O15" s="50"/>
    </row>
    <row r="16" spans="1:25" ht="28.9">
      <c r="A16" s="51"/>
      <c r="B16" s="52" t="s">
        <v>356</v>
      </c>
      <c r="C16" s="52" t="s">
        <v>357</v>
      </c>
      <c r="D16" s="52" t="s">
        <v>358</v>
      </c>
      <c r="E16" s="52" t="s">
        <v>359</v>
      </c>
      <c r="N16" s="51"/>
      <c r="O16" s="52" t="s">
        <v>356</v>
      </c>
      <c r="P16" s="52" t="s">
        <v>357</v>
      </c>
      <c r="Q16" s="52" t="s">
        <v>358</v>
      </c>
      <c r="R16" s="52" t="s">
        <v>359</v>
      </c>
    </row>
    <row r="17" spans="1:22">
      <c r="A17" s="54">
        <v>2023</v>
      </c>
      <c r="B17" s="62">
        <v>4120</v>
      </c>
      <c r="C17" s="11">
        <v>0.44332436138337311</v>
      </c>
      <c r="D17" s="11">
        <v>0.5601932367149759</v>
      </c>
      <c r="E17" s="11">
        <v>0.683457711442786</v>
      </c>
      <c r="N17" s="54">
        <v>2023</v>
      </c>
      <c r="O17" s="62">
        <v>8711</v>
      </c>
      <c r="P17" s="11">
        <v>0.46808510638297873</v>
      </c>
      <c r="Q17" s="11">
        <v>0.58659217877094971</v>
      </c>
      <c r="R17" s="11">
        <v>0.7142857142857143</v>
      </c>
    </row>
    <row r="18" spans="1:22">
      <c r="A18" s="54">
        <v>2024</v>
      </c>
      <c r="B18" s="62">
        <v>4306</v>
      </c>
      <c r="C18" s="11">
        <v>0.44318181818181818</v>
      </c>
      <c r="D18" s="11">
        <v>0.56028368794326244</v>
      </c>
      <c r="E18" s="11">
        <v>0.68421052631578949</v>
      </c>
      <c r="N18" s="54">
        <v>2024</v>
      </c>
      <c r="O18" s="62">
        <v>8510</v>
      </c>
      <c r="P18" s="11">
        <v>0.46540880503144655</v>
      </c>
      <c r="Q18" s="11">
        <v>0.57760176770820371</v>
      </c>
      <c r="R18" s="11">
        <v>0.7016574585635359</v>
      </c>
    </row>
    <row r="19" spans="1:22">
      <c r="B19" s="50"/>
      <c r="O19" s="50"/>
    </row>
    <row r="20" spans="1:22">
      <c r="A20" s="56" t="str">
        <f>CONCATENATE("Table 42a. College Enrollment Rates in the First Year after High School Graduation for Classes ",A22," and ",A23,", Student-Weighted Totals")</f>
        <v>Table 42a. College Enrollment Rates in the First Year after High School Graduation for Classes 2023 and 2024, Student-Weighted Totals</v>
      </c>
      <c r="B20" s="50"/>
      <c r="N20" s="56" t="str">
        <f>CONCATENATE("Table 42b. College Enrollment Rates in the First Year after High School Graduation for Classes ",N22," and ",N23,", Student-Weighted Totals")</f>
        <v>Table 42b. College Enrollment Rates in the First Year after High School Graduation for Classes 2023 and 2024, Student-Weighted Totals</v>
      </c>
      <c r="O20" s="50"/>
    </row>
    <row r="21" spans="1:22" ht="28.9">
      <c r="A21" s="51"/>
      <c r="B21" s="52" t="s">
        <v>360</v>
      </c>
      <c r="C21" s="53" t="s">
        <v>361</v>
      </c>
      <c r="D21" s="53" t="s">
        <v>28</v>
      </c>
      <c r="E21" s="53" t="s">
        <v>29</v>
      </c>
      <c r="F21" s="53" t="s">
        <v>362</v>
      </c>
      <c r="G21" s="53" t="s">
        <v>363</v>
      </c>
      <c r="H21" s="53" t="s">
        <v>364</v>
      </c>
      <c r="I21" s="53" t="s">
        <v>365</v>
      </c>
      <c r="N21" s="51"/>
      <c r="O21" s="52" t="s">
        <v>360</v>
      </c>
      <c r="P21" s="53" t="s">
        <v>361</v>
      </c>
      <c r="Q21" s="53" t="s">
        <v>28</v>
      </c>
      <c r="R21" s="53" t="s">
        <v>29</v>
      </c>
      <c r="S21" s="53" t="s">
        <v>362</v>
      </c>
      <c r="T21" s="53" t="s">
        <v>363</v>
      </c>
      <c r="U21" s="53" t="s">
        <v>364</v>
      </c>
      <c r="V21" s="53" t="s">
        <v>365</v>
      </c>
    </row>
    <row r="22" spans="1:22">
      <c r="A22" s="54">
        <v>2023</v>
      </c>
      <c r="B22" s="13">
        <v>978880</v>
      </c>
      <c r="C22" s="11">
        <v>0.58967391304347827</v>
      </c>
      <c r="D22" s="11">
        <v>0.50674342105263159</v>
      </c>
      <c r="E22" s="11">
        <v>8.2930491990846678E-2</v>
      </c>
      <c r="F22" s="11">
        <v>0.22387524517816279</v>
      </c>
      <c r="G22" s="11">
        <v>0.36579866786531545</v>
      </c>
      <c r="H22" s="11">
        <v>0.5120464203988232</v>
      </c>
      <c r="I22" s="11">
        <v>7.7627492644655113E-2</v>
      </c>
      <c r="N22" s="54">
        <v>2023</v>
      </c>
      <c r="O22" s="13">
        <v>1365493</v>
      </c>
      <c r="P22" s="11">
        <v>0.66011396616460138</v>
      </c>
      <c r="Q22" s="11">
        <v>0.52761530084738628</v>
      </c>
      <c r="R22" s="11">
        <v>0.1324986653172151</v>
      </c>
      <c r="S22" s="11">
        <v>0.17994013883630308</v>
      </c>
      <c r="T22" s="11">
        <v>0.48017382732829827</v>
      </c>
      <c r="U22" s="11">
        <v>0.49745549775795261</v>
      </c>
      <c r="V22" s="11">
        <v>0.16265846840664874</v>
      </c>
    </row>
    <row r="23" spans="1:22">
      <c r="A23" s="54">
        <v>2024</v>
      </c>
      <c r="B23" s="13">
        <v>1038687</v>
      </c>
      <c r="C23" s="11">
        <v>0.58919096898295642</v>
      </c>
      <c r="D23" s="11">
        <v>0.50876443047809394</v>
      </c>
      <c r="E23" s="11">
        <v>8.0426538504862394E-2</v>
      </c>
      <c r="F23" s="11">
        <v>0.2336237961965443</v>
      </c>
      <c r="G23" s="11">
        <v>0.35556717278641209</v>
      </c>
      <c r="H23" s="11">
        <v>0.51241134239669894</v>
      </c>
      <c r="I23" s="11">
        <v>7.6779626586257463E-2</v>
      </c>
      <c r="N23" s="54">
        <v>2024</v>
      </c>
      <c r="O23" s="13">
        <v>1322207</v>
      </c>
      <c r="P23" s="11">
        <v>0.65372214789363536</v>
      </c>
      <c r="Q23" s="11">
        <v>0.52407905872529792</v>
      </c>
      <c r="R23" s="11">
        <v>0.12964308916833747</v>
      </c>
      <c r="S23" s="11">
        <v>0.17805608350281008</v>
      </c>
      <c r="T23" s="11">
        <v>0.47566606439082532</v>
      </c>
      <c r="U23" s="11">
        <v>0.4928880273663655</v>
      </c>
      <c r="V23" s="11">
        <v>0.16083412052726995</v>
      </c>
    </row>
    <row r="26" spans="1:22">
      <c r="A26" s="56" t="str">
        <f>CONCATENATE("Table 43a. College Enrollment Rates in the First Two Years after High School Graduation for Classes ",A28," and ",A29,", School Percentile Distribution")</f>
        <v>Table 43a. College Enrollment Rates in the First Two Years after High School Graduation for Classes 2022 and 2023, School Percentile Distribution</v>
      </c>
      <c r="B26" s="50"/>
      <c r="N26" s="56" t="str">
        <f>CONCATENATE("Table 43b. College Enrollment Rates in the First Two Years after High School Graduation for Classes ",N28," and ",N29,", School Percentile Distribution")</f>
        <v>Table 43b. College Enrollment Rates in the First Two Years after High School Graduation for Classes 2022 and 2023, School Percentile Distribution</v>
      </c>
      <c r="O26" s="50"/>
    </row>
    <row r="27" spans="1:22" ht="28.9">
      <c r="A27" s="51"/>
      <c r="B27" s="52" t="s">
        <v>356</v>
      </c>
      <c r="C27" s="53" t="s">
        <v>357</v>
      </c>
      <c r="D27" s="53" t="s">
        <v>358</v>
      </c>
      <c r="E27" s="53" t="s">
        <v>359</v>
      </c>
      <c r="N27" s="51"/>
      <c r="O27" s="52" t="s">
        <v>356</v>
      </c>
      <c r="P27" s="53" t="s">
        <v>357</v>
      </c>
      <c r="Q27" s="53" t="s">
        <v>358</v>
      </c>
      <c r="R27" s="53" t="s">
        <v>359</v>
      </c>
    </row>
    <row r="28" spans="1:22">
      <c r="A28" s="54">
        <v>2022</v>
      </c>
      <c r="B28" s="13">
        <v>3813</v>
      </c>
      <c r="C28" s="11">
        <v>0.46285714285714286</v>
      </c>
      <c r="D28" s="11">
        <v>0.57653061224489799</v>
      </c>
      <c r="E28" s="11">
        <v>0.70305676855895194</v>
      </c>
      <c r="N28" s="54">
        <v>2022</v>
      </c>
      <c r="O28" s="13">
        <v>8939</v>
      </c>
      <c r="P28" s="11">
        <v>0.5</v>
      </c>
      <c r="Q28" s="11">
        <v>0.61224489795918369</v>
      </c>
      <c r="R28" s="11">
        <v>0.73584905660377353</v>
      </c>
    </row>
    <row r="29" spans="1:22">
      <c r="A29" s="54">
        <v>2023</v>
      </c>
      <c r="B29" s="13">
        <v>4120</v>
      </c>
      <c r="C29" s="11">
        <v>0.48687251642202578</v>
      </c>
      <c r="D29" s="11">
        <v>0.60298179845114186</v>
      </c>
      <c r="E29" s="11">
        <v>0.72101158442032287</v>
      </c>
      <c r="N29" s="54">
        <v>2023</v>
      </c>
      <c r="O29" s="13">
        <v>8711</v>
      </c>
      <c r="P29" s="11">
        <v>0.5</v>
      </c>
      <c r="Q29" s="11">
        <v>0.6216216216216216</v>
      </c>
      <c r="R29" s="11">
        <v>0.74626865671641796</v>
      </c>
    </row>
    <row r="30" spans="1:22">
      <c r="B30" s="50"/>
      <c r="O30" s="50"/>
    </row>
    <row r="31" spans="1:22">
      <c r="A31" s="56" t="str">
        <f>CONCATENATE("Table 44a. College Enrollment Rates in the First Two Years after High School Graduation for Classes ",A33," and ",A34,", Student-Weighted Totals")</f>
        <v>Table 44a. College Enrollment Rates in the First Two Years after High School Graduation for Classes 2022 and 2023, Student-Weighted Totals</v>
      </c>
      <c r="B31" s="50"/>
      <c r="N31" s="56" t="str">
        <f>CONCATENATE("Table 44b. College Enrollment Rates in the First Two Years after High School Graduation for Classes ",N33," and ",N34,", Student-Weighted Totals")</f>
        <v>Table 44b. College Enrollment Rates in the First Two Years after High School Graduation for Classes 2022 and 2023, Student-Weighted Totals</v>
      </c>
      <c r="O31" s="50"/>
    </row>
    <row r="32" spans="1:22" ht="28.9">
      <c r="A32" s="51"/>
      <c r="B32" s="52" t="s">
        <v>360</v>
      </c>
      <c r="C32" s="53" t="s">
        <v>361</v>
      </c>
      <c r="D32" s="53" t="s">
        <v>28</v>
      </c>
      <c r="E32" s="53" t="s">
        <v>29</v>
      </c>
      <c r="F32" s="53" t="s">
        <v>362</v>
      </c>
      <c r="G32" s="53" t="s">
        <v>363</v>
      </c>
      <c r="H32" s="53" t="s">
        <v>364</v>
      </c>
      <c r="I32" s="53" t="s">
        <v>365</v>
      </c>
      <c r="N32" s="51"/>
      <c r="O32" s="52" t="s">
        <v>360</v>
      </c>
      <c r="P32" s="53" t="s">
        <v>361</v>
      </c>
      <c r="Q32" s="53" t="s">
        <v>28</v>
      </c>
      <c r="R32" s="53" t="s">
        <v>29</v>
      </c>
      <c r="S32" s="53" t="s">
        <v>362</v>
      </c>
      <c r="T32" s="53" t="s">
        <v>363</v>
      </c>
      <c r="U32" s="53" t="s">
        <v>364</v>
      </c>
      <c r="V32" s="53" t="s">
        <v>365</v>
      </c>
    </row>
    <row r="33" spans="1:22">
      <c r="A33" s="54">
        <v>2022</v>
      </c>
      <c r="B33" s="13">
        <v>926895</v>
      </c>
      <c r="C33" s="11">
        <v>0.61605467717486884</v>
      </c>
      <c r="D33" s="11">
        <v>0.5317711283370824</v>
      </c>
      <c r="E33" s="11">
        <v>8.4283548837786368E-2</v>
      </c>
      <c r="F33" s="11">
        <v>0.24985246441074771</v>
      </c>
      <c r="G33" s="11">
        <v>0.36620221276412107</v>
      </c>
      <c r="H33" s="11">
        <v>0.52983023967116016</v>
      </c>
      <c r="I33" s="11">
        <v>8.6224437503708617E-2</v>
      </c>
      <c r="N33" s="54">
        <v>2022</v>
      </c>
      <c r="O33" s="13">
        <v>1388818</v>
      </c>
      <c r="P33" s="11">
        <v>0.68766893862262735</v>
      </c>
      <c r="Q33" s="11">
        <v>0.54982222292625815</v>
      </c>
      <c r="R33" s="11">
        <v>0.13784671569636914</v>
      </c>
      <c r="S33" s="11">
        <v>0.19998444720618541</v>
      </c>
      <c r="T33" s="11">
        <v>0.48768449141644188</v>
      </c>
      <c r="U33" s="11">
        <v>0.5139809535878711</v>
      </c>
      <c r="V33" s="11">
        <v>0.17368798503475619</v>
      </c>
    </row>
    <row r="34" spans="1:22">
      <c r="A34" s="54">
        <v>2023</v>
      </c>
      <c r="B34" s="13">
        <v>978880</v>
      </c>
      <c r="C34" s="11">
        <v>0.62844066688460276</v>
      </c>
      <c r="D34" s="11">
        <v>0.54049628146453088</v>
      </c>
      <c r="E34" s="11">
        <v>8.7944385420071922E-2</v>
      </c>
      <c r="F34" s="11">
        <v>0.24911735861392612</v>
      </c>
      <c r="G34" s="11">
        <v>0.37932330827067667</v>
      </c>
      <c r="H34" s="11">
        <v>0.54387258908139913</v>
      </c>
      <c r="I34" s="11">
        <v>8.4568077803203662E-2</v>
      </c>
      <c r="N34" s="54">
        <v>2023</v>
      </c>
      <c r="O34" s="13">
        <v>1365493</v>
      </c>
      <c r="P34" s="11">
        <v>0.69381681194996969</v>
      </c>
      <c r="Q34" s="11">
        <v>0.55674543919302411</v>
      </c>
      <c r="R34" s="11">
        <v>0.13707137275694567</v>
      </c>
      <c r="S34" s="11">
        <v>0.19993950902714258</v>
      </c>
      <c r="T34" s="11">
        <v>0.49387730292282717</v>
      </c>
      <c r="U34" s="11">
        <v>0.52414109775736673</v>
      </c>
      <c r="V34" s="11">
        <v>0.16967571419260297</v>
      </c>
    </row>
    <row r="37" spans="1:22">
      <c r="A37" s="56" t="str">
        <f>CONCATENATE("Table 45a. Persistence Rates from First to Second Year of College for Class of ",A39," and ",A40,", School Percentile Distribution")</f>
        <v>Table 45a. Persistence Rates from First to Second Year of College for Class of 2022 and 2023, School Percentile Distribution</v>
      </c>
      <c r="B37" s="50"/>
      <c r="N37" s="56" t="str">
        <f>CONCATENATE("Table 45b. Persistence Rates from First to Second Year of College for Class of ",N39," and ",N40,", School Percentile Distribution")</f>
        <v>Table 45b. Persistence Rates from First to Second Year of College for Class of 2022 and 2023, School Percentile Distribution</v>
      </c>
      <c r="O37" s="50"/>
    </row>
    <row r="38" spans="1:22" ht="28.9">
      <c r="A38" s="51"/>
      <c r="B38" s="52" t="s">
        <v>356</v>
      </c>
      <c r="C38" s="53" t="s">
        <v>357</v>
      </c>
      <c r="D38" s="53" t="s">
        <v>358</v>
      </c>
      <c r="E38" s="53" t="s">
        <v>359</v>
      </c>
      <c r="N38" s="51"/>
      <c r="O38" s="52" t="s">
        <v>356</v>
      </c>
      <c r="P38" s="53" t="s">
        <v>357</v>
      </c>
      <c r="Q38" s="53" t="s">
        <v>358</v>
      </c>
      <c r="R38" s="53" t="s">
        <v>359</v>
      </c>
    </row>
    <row r="39" spans="1:22">
      <c r="A39" s="54">
        <v>2022</v>
      </c>
      <c r="B39" s="13">
        <v>3813</v>
      </c>
      <c r="C39" s="11">
        <v>0.69117647058823528</v>
      </c>
      <c r="D39" s="11">
        <v>0.77204086164779029</v>
      </c>
      <c r="E39" s="11">
        <v>0.84313725490196079</v>
      </c>
      <c r="N39" s="54">
        <v>2022</v>
      </c>
      <c r="O39" s="13">
        <v>8939</v>
      </c>
      <c r="P39" s="11">
        <v>0.75</v>
      </c>
      <c r="Q39" s="11">
        <v>0.82954545454545459</v>
      </c>
      <c r="R39" s="11">
        <v>0.89836281604574286</v>
      </c>
    </row>
    <row r="40" spans="1:22">
      <c r="A40" s="54">
        <v>2023</v>
      </c>
      <c r="B40" s="13">
        <v>4120</v>
      </c>
      <c r="C40" s="11">
        <v>0.69354838709677424</v>
      </c>
      <c r="D40" s="11">
        <v>0.77777777777777779</v>
      </c>
      <c r="E40" s="11">
        <v>0.84615384615384615</v>
      </c>
      <c r="N40" s="54">
        <v>2023</v>
      </c>
      <c r="O40" s="13">
        <v>8711</v>
      </c>
      <c r="P40" s="11">
        <v>0.75</v>
      </c>
      <c r="Q40" s="11">
        <v>0.83673469387755106</v>
      </c>
      <c r="R40" s="11">
        <v>0.90243902439024393</v>
      </c>
    </row>
    <row r="41" spans="1:22">
      <c r="B41" s="50"/>
      <c r="O41" s="50"/>
    </row>
    <row r="42" spans="1:22">
      <c r="A42" s="56" t="str">
        <f>CONCATENATE("Table 46a. Persistence Rates from First to Second Year of College for Class of ",A44," and ",A45,", Student-Weighted Totals")</f>
        <v>Table 46a. Persistence Rates from First to Second Year of College for Class of 2022 and 2023, Student-Weighted Totals</v>
      </c>
      <c r="B42" s="50"/>
      <c r="N42" s="56" t="str">
        <f>CONCATENATE("Table 46b. Persistence Rates from First to Second Year of College for Class of ",N44," and ",N45,", Student-Weighted Totals")</f>
        <v>Table 46b. Persistence Rates from First to Second Year of College for Class of 2022 and 2023, Student-Weighted Totals</v>
      </c>
      <c r="O42" s="50"/>
    </row>
    <row r="43" spans="1:22" ht="43.15">
      <c r="A43" s="51"/>
      <c r="B43" s="52" t="s">
        <v>366</v>
      </c>
      <c r="C43" s="53" t="s">
        <v>361</v>
      </c>
      <c r="D43" s="53" t="s">
        <v>28</v>
      </c>
      <c r="E43" s="53" t="s">
        <v>29</v>
      </c>
      <c r="F43" s="53" t="s">
        <v>362</v>
      </c>
      <c r="G43" s="53" t="s">
        <v>363</v>
      </c>
      <c r="H43" s="53" t="s">
        <v>364</v>
      </c>
      <c r="I43" s="53" t="s">
        <v>365</v>
      </c>
      <c r="N43" s="51"/>
      <c r="O43" s="52" t="s">
        <v>366</v>
      </c>
      <c r="P43" s="53" t="s">
        <v>361</v>
      </c>
      <c r="Q43" s="53" t="s">
        <v>28</v>
      </c>
      <c r="R43" s="53" t="s">
        <v>29</v>
      </c>
      <c r="S43" s="53" t="s">
        <v>362</v>
      </c>
      <c r="T43" s="53" t="s">
        <v>363</v>
      </c>
      <c r="U43" s="53" t="s">
        <v>364</v>
      </c>
      <c r="V43" s="53" t="s">
        <v>365</v>
      </c>
    </row>
    <row r="44" spans="1:22">
      <c r="A44" s="54">
        <v>2022</v>
      </c>
      <c r="B44" s="13">
        <v>533336</v>
      </c>
      <c r="C44" s="11">
        <v>0.79859600701996492</v>
      </c>
      <c r="D44" s="11">
        <v>0.79045828488214132</v>
      </c>
      <c r="E44" s="11">
        <v>0.84970853640223343</v>
      </c>
      <c r="F44" s="11">
        <v>0.68841585163626517</v>
      </c>
      <c r="G44" s="11">
        <v>0.86839840364111942</v>
      </c>
      <c r="H44" s="11">
        <v>0.78938221128256825</v>
      </c>
      <c r="I44" s="11">
        <v>0.85666753385455885</v>
      </c>
      <c r="N44" s="54">
        <v>2022</v>
      </c>
      <c r="O44" s="13">
        <v>905718</v>
      </c>
      <c r="P44" s="11">
        <v>0.86369156845729023</v>
      </c>
      <c r="Q44" s="11">
        <v>0.84927005325720273</v>
      </c>
      <c r="R44" s="11">
        <v>0.92006547389987048</v>
      </c>
      <c r="S44" s="11">
        <v>0.7210571513415035</v>
      </c>
      <c r="T44" s="11">
        <v>0.91783190154146099</v>
      </c>
      <c r="U44" s="11">
        <v>0.84269035720895802</v>
      </c>
      <c r="V44" s="11">
        <v>0.92526796994048011</v>
      </c>
    </row>
    <row r="45" spans="1:22">
      <c r="A45" s="54">
        <v>2023</v>
      </c>
      <c r="B45" s="13">
        <v>577220</v>
      </c>
      <c r="C45" s="11">
        <v>0.8055542081008974</v>
      </c>
      <c r="D45" s="11">
        <v>0.79646642112244759</v>
      </c>
      <c r="E45" s="11">
        <v>0.86108476330085371</v>
      </c>
      <c r="F45" s="11">
        <v>0.69396797583357295</v>
      </c>
      <c r="G45" s="11">
        <v>0.87384695299561821</v>
      </c>
      <c r="H45" s="11">
        <v>0.79620614805120182</v>
      </c>
      <c r="I45" s="11">
        <v>0.86721587619097751</v>
      </c>
      <c r="N45" s="54">
        <v>2023</v>
      </c>
      <c r="O45" s="13">
        <v>901381</v>
      </c>
      <c r="P45" s="11">
        <v>0.86971768874649014</v>
      </c>
      <c r="Q45" s="11">
        <v>0.8560520782005816</v>
      </c>
      <c r="R45" s="11">
        <v>0.9241347291157711</v>
      </c>
      <c r="S45" s="11">
        <v>0.72926290256280857</v>
      </c>
      <c r="T45" s="11">
        <v>0.92235165646342543</v>
      </c>
      <c r="U45" s="11">
        <v>0.84969938404644973</v>
      </c>
      <c r="V45" s="11">
        <v>0.93093931358026916</v>
      </c>
    </row>
    <row r="48" spans="1:22">
      <c r="A48" s="56" t="str">
        <f>CONCATENATE("Table 47a. Six-Year Completion Rates for Class of ",,A50," and ",A51,", School Percentile Distribution")</f>
        <v>Table 47a. Six-Year Completion Rates for Class of 2018 and 2019, School Percentile Distribution</v>
      </c>
      <c r="B48" s="50"/>
      <c r="N48" s="56" t="str">
        <f>CONCATENATE("Table 47b. Six-Year Completion Rates for Class of ",N50," and ",N51,", School Percentile Distribution")</f>
        <v>Table 47b. Six-Year Completion Rates for Class of 2018 and 2019, School Percentile Distribution</v>
      </c>
      <c r="O48" s="50"/>
    </row>
    <row r="49" spans="1:22" ht="28.9">
      <c r="A49" s="51"/>
      <c r="B49" s="52" t="s">
        <v>356</v>
      </c>
      <c r="C49" s="53" t="s">
        <v>357</v>
      </c>
      <c r="D49" s="53" t="s">
        <v>358</v>
      </c>
      <c r="E49" s="53" t="s">
        <v>359</v>
      </c>
      <c r="N49" s="51"/>
      <c r="O49" s="52" t="s">
        <v>356</v>
      </c>
      <c r="P49" s="53" t="s">
        <v>357</v>
      </c>
      <c r="Q49" s="53" t="s">
        <v>358</v>
      </c>
      <c r="R49" s="53" t="s">
        <v>359</v>
      </c>
    </row>
    <row r="50" spans="1:22">
      <c r="A50" s="54">
        <v>2018</v>
      </c>
      <c r="B50" s="13">
        <v>3405</v>
      </c>
      <c r="C50" s="11">
        <v>0.1893491124260355</v>
      </c>
      <c r="D50" s="11">
        <v>0.27445652173913043</v>
      </c>
      <c r="E50" s="11">
        <v>0.37402597402597404</v>
      </c>
      <c r="N50" s="54">
        <v>2018</v>
      </c>
      <c r="O50" s="13">
        <v>8797</v>
      </c>
      <c r="P50" s="11">
        <v>0.28749999999999998</v>
      </c>
      <c r="Q50" s="11">
        <v>0.39622641509433965</v>
      </c>
      <c r="R50" s="11">
        <v>0.52405063291139242</v>
      </c>
    </row>
    <row r="51" spans="1:22">
      <c r="A51" s="54">
        <v>2019</v>
      </c>
      <c r="B51" s="13">
        <v>3434</v>
      </c>
      <c r="C51" s="11">
        <v>0.18181818181818182</v>
      </c>
      <c r="D51" s="11">
        <v>0.26976050738356683</v>
      </c>
      <c r="E51" s="11">
        <v>0.36992840095465396</v>
      </c>
      <c r="N51" s="54">
        <v>2019</v>
      </c>
      <c r="O51" s="13">
        <v>8779</v>
      </c>
      <c r="P51" s="11">
        <v>0.28155339805825241</v>
      </c>
      <c r="Q51" s="11">
        <v>0.38596491228070173</v>
      </c>
      <c r="R51" s="11">
        <v>0.51724137931034486</v>
      </c>
    </row>
    <row r="52" spans="1:22">
      <c r="A52" s="58"/>
      <c r="B52" s="59"/>
      <c r="C52" s="60"/>
      <c r="D52" s="60"/>
      <c r="E52" s="60"/>
      <c r="N52" s="58"/>
      <c r="O52" s="59"/>
      <c r="P52" s="60"/>
      <c r="Q52" s="60"/>
      <c r="R52" s="60"/>
    </row>
    <row r="53" spans="1:22">
      <c r="A53" s="56" t="str">
        <f>CONCATENATE("Table 48a. Six-Year Completion Rates for Class of ",A55," and ",A56, ", Student-Weighted Totals")</f>
        <v>Table 48a. Six-Year Completion Rates for Class of 2018 and 2019, Student-Weighted Totals</v>
      </c>
      <c r="B53" s="50"/>
      <c r="N53" s="56" t="str">
        <f>CONCATENATE("Table 48b. Six-Year Completion Rates for Class of ",,N55," and ",N56, ", Student-Weighted Totals")</f>
        <v>Table 48b. Six-Year Completion Rates for Class of 2018 and 2019, Student-Weighted Totals</v>
      </c>
      <c r="O53" s="50"/>
    </row>
    <row r="54" spans="1:22" ht="28.9">
      <c r="A54" s="51"/>
      <c r="B54" s="52" t="s">
        <v>360</v>
      </c>
      <c r="C54" s="53" t="s">
        <v>361</v>
      </c>
      <c r="D54" s="53" t="s">
        <v>28</v>
      </c>
      <c r="E54" s="53" t="s">
        <v>29</v>
      </c>
      <c r="F54" s="53" t="s">
        <v>362</v>
      </c>
      <c r="G54" s="53" t="s">
        <v>363</v>
      </c>
      <c r="H54" s="53" t="s">
        <v>364</v>
      </c>
      <c r="I54" s="53" t="s">
        <v>365</v>
      </c>
      <c r="N54" s="51"/>
      <c r="O54" s="52" t="s">
        <v>360</v>
      </c>
      <c r="P54" s="53" t="s">
        <v>361</v>
      </c>
      <c r="Q54" s="53" t="s">
        <v>28</v>
      </c>
      <c r="R54" s="53" t="s">
        <v>29</v>
      </c>
      <c r="S54" s="53" t="s">
        <v>362</v>
      </c>
      <c r="T54" s="53" t="s">
        <v>363</v>
      </c>
      <c r="U54" s="53" t="s">
        <v>364</v>
      </c>
      <c r="V54" s="53" t="s">
        <v>365</v>
      </c>
    </row>
    <row r="55" spans="1:22">
      <c r="A55" s="54">
        <v>2018</v>
      </c>
      <c r="B55" s="13">
        <v>890618</v>
      </c>
      <c r="C55" s="11">
        <v>0.31480949183600598</v>
      </c>
      <c r="D55" s="11">
        <v>0.25920428286874958</v>
      </c>
      <c r="E55" s="11">
        <v>5.5605208967256445E-2</v>
      </c>
      <c r="F55" s="11">
        <v>8.6008816349995174E-2</v>
      </c>
      <c r="G55" s="11">
        <v>0.22862214776705614</v>
      </c>
      <c r="H55" s="11">
        <v>0.26558636811741959</v>
      </c>
      <c r="I55" s="11">
        <v>4.922312371858642E-2</v>
      </c>
      <c r="N55" s="54">
        <v>2018</v>
      </c>
      <c r="O55" s="13">
        <v>1418488</v>
      </c>
      <c r="P55" s="11">
        <v>0.47488170502676091</v>
      </c>
      <c r="Q55" s="11">
        <v>0.36050075855417879</v>
      </c>
      <c r="R55" s="11">
        <v>0.11438094647258207</v>
      </c>
      <c r="S55" s="11">
        <v>9.3892228908527955E-2</v>
      </c>
      <c r="T55" s="11">
        <v>0.38097044176616229</v>
      </c>
      <c r="U55" s="11">
        <v>0.34909847668785354</v>
      </c>
      <c r="V55" s="11">
        <v>0.12578322833890734</v>
      </c>
    </row>
    <row r="56" spans="1:22">
      <c r="A56" s="54">
        <v>2019</v>
      </c>
      <c r="B56" s="13">
        <v>922108</v>
      </c>
      <c r="C56" s="11">
        <v>0.31052436374047293</v>
      </c>
      <c r="D56" s="11">
        <v>0.25673023116598054</v>
      </c>
      <c r="E56" s="11">
        <v>5.3794132574492358E-2</v>
      </c>
      <c r="F56" s="11">
        <v>8.6973543229209596E-2</v>
      </c>
      <c r="G56" s="11">
        <v>0.22336971374285874</v>
      </c>
      <c r="H56" s="11">
        <v>0.2616699996095902</v>
      </c>
      <c r="I56" s="11">
        <v>4.8854364130882719E-2</v>
      </c>
      <c r="N56" s="54">
        <v>2019</v>
      </c>
      <c r="O56" s="13">
        <v>1406870</v>
      </c>
      <c r="P56" s="11">
        <v>0.46977119421126329</v>
      </c>
      <c r="Q56" s="11">
        <v>0.35892868566392061</v>
      </c>
      <c r="R56" s="11">
        <v>0.11084250854734268</v>
      </c>
      <c r="S56" s="11">
        <v>9.3926944209486302E-2</v>
      </c>
      <c r="T56" s="11">
        <v>0.37583927441767895</v>
      </c>
      <c r="U56" s="11">
        <v>0.34342831960309056</v>
      </c>
      <c r="V56" s="11">
        <v>0.12634287460817276</v>
      </c>
    </row>
  </sheetData>
  <mergeCells count="2">
    <mergeCell ref="A2:L2"/>
    <mergeCell ref="N2:Y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63F71-3630-4F6C-B9D2-7093889626AC}">
  <dimension ref="A1:AL56"/>
  <sheetViews>
    <sheetView topLeftCell="C3" zoomScaleNormal="100" workbookViewId="0">
      <selection activeCell="L13" sqref="L13"/>
    </sheetView>
  </sheetViews>
  <sheetFormatPr defaultRowHeight="14.45"/>
  <cols>
    <col min="2" max="2" width="14.5703125" customWidth="1"/>
    <col min="3" max="3" width="11.5703125" customWidth="1"/>
    <col min="4" max="4" width="10.5703125" customWidth="1"/>
    <col min="5" max="5" width="11.7109375" customWidth="1"/>
    <col min="13" max="13" width="13.7109375" customWidth="1"/>
    <col min="15" max="15" width="13.28515625" customWidth="1"/>
    <col min="16" max="16" width="11.5703125" customWidth="1"/>
    <col min="17" max="17" width="10.28515625" customWidth="1"/>
    <col min="18" max="18" width="10.140625" customWidth="1"/>
    <col min="26" max="26" width="13.7109375" customWidth="1"/>
    <col min="28" max="28" width="13.28515625" customWidth="1"/>
    <col min="29" max="29" width="11.5703125" customWidth="1"/>
    <col min="30" max="30" width="10.28515625" customWidth="1"/>
    <col min="31" max="31" width="10.140625" customWidth="1"/>
  </cols>
  <sheetData>
    <row r="1" spans="1:38" ht="28.9">
      <c r="A1" s="45" t="s">
        <v>373</v>
      </c>
      <c r="B1" s="46"/>
      <c r="C1" s="46"/>
      <c r="D1" s="46"/>
      <c r="E1" s="46"/>
      <c r="F1" s="46"/>
      <c r="G1" s="46"/>
      <c r="H1" s="46"/>
      <c r="I1" s="46"/>
      <c r="J1" s="46"/>
      <c r="K1" s="46"/>
      <c r="L1" s="46"/>
      <c r="M1" s="46"/>
      <c r="N1" s="46"/>
      <c r="O1" s="46"/>
      <c r="P1" s="46"/>
      <c r="Q1" s="46"/>
      <c r="R1" s="46"/>
      <c r="S1" s="46"/>
      <c r="T1" s="46"/>
      <c r="U1" s="46"/>
      <c r="V1" s="46"/>
      <c r="W1" s="46"/>
      <c r="X1" s="46"/>
      <c r="Y1" s="46"/>
    </row>
    <row r="2" spans="1:38" ht="18">
      <c r="A2" s="110" t="s">
        <v>374</v>
      </c>
      <c r="B2" s="110"/>
      <c r="C2" s="110"/>
      <c r="D2" s="110"/>
      <c r="E2" s="110"/>
      <c r="F2" s="110"/>
      <c r="G2" s="110"/>
      <c r="H2" s="110"/>
      <c r="I2" s="110"/>
      <c r="J2" s="110"/>
      <c r="K2" s="110"/>
      <c r="L2" s="110"/>
      <c r="M2" s="47"/>
      <c r="N2" s="110" t="s">
        <v>375</v>
      </c>
      <c r="O2" s="110"/>
      <c r="P2" s="110"/>
      <c r="Q2" s="110"/>
      <c r="R2" s="110"/>
      <c r="S2" s="110"/>
      <c r="T2" s="110"/>
      <c r="U2" s="110"/>
      <c r="V2" s="110"/>
      <c r="W2" s="110"/>
      <c r="X2" s="110"/>
      <c r="Y2" s="110"/>
      <c r="AA2" s="110" t="s">
        <v>376</v>
      </c>
      <c r="AB2" s="110"/>
      <c r="AC2" s="110"/>
      <c r="AD2" s="110"/>
      <c r="AE2" s="110"/>
      <c r="AF2" s="110"/>
      <c r="AG2" s="110"/>
      <c r="AH2" s="110"/>
      <c r="AI2" s="110"/>
      <c r="AJ2" s="110"/>
      <c r="AK2" s="110"/>
      <c r="AL2" s="110"/>
    </row>
    <row r="3" spans="1:38">
      <c r="A3" s="48"/>
      <c r="B3" s="48"/>
      <c r="C3" s="48"/>
      <c r="D3" s="48"/>
      <c r="E3" s="48"/>
      <c r="F3" s="48"/>
      <c r="G3" s="48"/>
      <c r="H3" s="48"/>
      <c r="I3" s="48"/>
      <c r="J3" s="48"/>
      <c r="K3" s="48"/>
      <c r="L3" s="48"/>
      <c r="M3" s="49"/>
      <c r="N3" s="48"/>
      <c r="O3" s="48"/>
      <c r="P3" s="48"/>
      <c r="Q3" s="48"/>
      <c r="R3" s="48"/>
      <c r="S3" s="48"/>
      <c r="T3" s="48"/>
      <c r="U3" s="48"/>
      <c r="V3" s="48"/>
      <c r="W3" s="48"/>
      <c r="X3" s="48"/>
      <c r="Y3" s="48"/>
      <c r="AA3" s="48"/>
      <c r="AB3" s="48"/>
      <c r="AC3" s="48"/>
      <c r="AD3" s="48"/>
      <c r="AE3" s="48"/>
      <c r="AF3" s="48"/>
      <c r="AG3" s="48"/>
      <c r="AH3" s="48"/>
      <c r="AI3" s="48"/>
      <c r="AJ3" s="48"/>
      <c r="AK3" s="48"/>
      <c r="AL3" s="48"/>
    </row>
    <row r="4" spans="1:38">
      <c r="A4" s="2" t="str">
        <f>CONCATENATE("Table 49a. College Enrollment Rates in the First Fall after High School Graduation for Classes ",A6," and ",A7,", School Percentile Distribution")</f>
        <v>Table 49a. College Enrollment Rates in the First Fall after High School Graduation for Classes 2024 and 2025, School Percentile Distribution</v>
      </c>
      <c r="B4" s="50"/>
      <c r="N4" s="2" t="str">
        <f>CONCATENATE("Table 49b. College Enrollment Rates in the First Fall after High School Graduation for Classes ",N6," and ",N7,", School Percentile Distribution")</f>
        <v>Table 49b. College Enrollment Rates in the First Fall after High School Graduation for Classes 2024 and 2025, School Percentile Distribution</v>
      </c>
      <c r="O4" s="50"/>
      <c r="AA4" s="2" t="str">
        <f>CONCATENATE("Table 49c. College Enrollment Rates in the First Fall after High School Graduation for Classes ",AA6," and ",AA7,", School Percentile Distribution")</f>
        <v>Table 49c. College Enrollment Rates in the First Fall after High School Graduation for Classes 2024 and 2025, School Percentile Distribution</v>
      </c>
      <c r="AB4" s="50"/>
    </row>
    <row r="5" spans="1:38" ht="28.9">
      <c r="A5" s="51"/>
      <c r="B5" s="52" t="s">
        <v>356</v>
      </c>
      <c r="C5" s="53" t="s">
        <v>357</v>
      </c>
      <c r="D5" s="53" t="s">
        <v>358</v>
      </c>
      <c r="E5" s="53" t="s">
        <v>359</v>
      </c>
      <c r="N5" s="51"/>
      <c r="O5" s="52" t="s">
        <v>356</v>
      </c>
      <c r="P5" s="53" t="s">
        <v>357</v>
      </c>
      <c r="Q5" s="53" t="s">
        <v>358</v>
      </c>
      <c r="R5" s="53" t="s">
        <v>359</v>
      </c>
      <c r="AA5" s="51"/>
      <c r="AB5" s="52" t="s">
        <v>356</v>
      </c>
      <c r="AC5" s="53" t="s">
        <v>357</v>
      </c>
      <c r="AD5" s="53" t="s">
        <v>358</v>
      </c>
      <c r="AE5" s="53" t="s">
        <v>359</v>
      </c>
    </row>
    <row r="6" spans="1:38">
      <c r="A6" s="63">
        <v>2024</v>
      </c>
      <c r="B6" s="13">
        <v>2768</v>
      </c>
      <c r="C6" s="11">
        <v>0.42287866772402855</v>
      </c>
      <c r="D6" s="11">
        <v>0.5632785884985001</v>
      </c>
      <c r="E6" s="11">
        <v>0.71128678085199826</v>
      </c>
      <c r="G6" s="55"/>
      <c r="I6" s="55"/>
      <c r="N6" s="63">
        <v>2024</v>
      </c>
      <c r="O6" s="13">
        <v>3112</v>
      </c>
      <c r="P6" s="11">
        <v>0.48164762237413306</v>
      </c>
      <c r="Q6" s="11">
        <v>0.62594670406732122</v>
      </c>
      <c r="R6" s="11">
        <v>0.75711826991431885</v>
      </c>
      <c r="T6" s="55"/>
      <c r="V6" s="55"/>
      <c r="AA6" s="63">
        <v>2024</v>
      </c>
      <c r="AB6" s="13">
        <v>6936</v>
      </c>
      <c r="AC6" s="11">
        <v>0.40702819510187283</v>
      </c>
      <c r="AD6" s="11">
        <v>0.50465126341294564</v>
      </c>
      <c r="AE6" s="11">
        <v>0.61290322580645162</v>
      </c>
      <c r="AG6" s="55"/>
      <c r="AI6" s="55"/>
    </row>
    <row r="7" spans="1:38">
      <c r="A7" s="63">
        <v>2025</v>
      </c>
      <c r="B7" s="13">
        <v>2668</v>
      </c>
      <c r="C7" s="11">
        <v>0.42005917159763312</v>
      </c>
      <c r="D7" s="11">
        <v>0.55854349332610198</v>
      </c>
      <c r="E7" s="11">
        <v>0.71207326428845419</v>
      </c>
      <c r="N7" s="63">
        <v>2025</v>
      </c>
      <c r="O7" s="13">
        <v>2992</v>
      </c>
      <c r="P7" s="11">
        <v>0.48986307950996877</v>
      </c>
      <c r="Q7" s="11">
        <v>0.62094312954076902</v>
      </c>
      <c r="R7" s="11">
        <v>0.74851058548175464</v>
      </c>
      <c r="AA7" s="63">
        <v>2025</v>
      </c>
      <c r="AB7" s="13">
        <v>6363</v>
      </c>
      <c r="AC7" s="11">
        <v>0.41666666666666669</v>
      </c>
      <c r="AD7" s="11">
        <v>0.51282051282051277</v>
      </c>
      <c r="AE7" s="11">
        <v>0.61363636363636365</v>
      </c>
    </row>
    <row r="8" spans="1:38">
      <c r="B8" s="50"/>
      <c r="O8" s="50"/>
      <c r="AB8" s="50"/>
    </row>
    <row r="9" spans="1:38">
      <c r="A9" s="2" t="str">
        <f>CONCATENATE("Table 50a. College Enrollment Rates in the First Fall after High School Graduation for Classes ",A11," and ",A12,", Student-Weighted Totals")</f>
        <v>Table 50a. College Enrollment Rates in the First Fall after High School Graduation for Classes 2024 and 2025, Student-Weighted Totals</v>
      </c>
      <c r="B9" s="50"/>
      <c r="N9" s="2" t="str">
        <f>CONCATENATE("Table 50b. College Enrollment Rates in the First Fall after High School Graduation for Classes ",N11," and ",N12,", Student-Weighted Totals")</f>
        <v>Table 50b. College Enrollment Rates in the First Fall after High School Graduation for Classes 2024 and 2025, Student-Weighted Totals</v>
      </c>
      <c r="O9" s="50"/>
      <c r="AA9" s="2" t="str">
        <f>CONCATENATE("Table 50c. College Enrollment Rates in the First Fall after High School Graduation for Classes ",AA11," and ",AA12,", Student-Weighted Totals")</f>
        <v>Table 50c. College Enrollment Rates in the First Fall after High School Graduation for Classes 2024 and 2025, Student-Weighted Totals</v>
      </c>
      <c r="AB9" s="50"/>
    </row>
    <row r="10" spans="1:38" ht="28.9">
      <c r="A10" s="51"/>
      <c r="B10" s="52" t="s">
        <v>360</v>
      </c>
      <c r="C10" s="53" t="s">
        <v>361</v>
      </c>
      <c r="D10" s="53" t="s">
        <v>28</v>
      </c>
      <c r="E10" s="53" t="s">
        <v>29</v>
      </c>
      <c r="F10" s="53" t="s">
        <v>362</v>
      </c>
      <c r="G10" s="53" t="s">
        <v>363</v>
      </c>
      <c r="H10" s="53" t="s">
        <v>364</v>
      </c>
      <c r="I10" s="53" t="s">
        <v>365</v>
      </c>
      <c r="N10" s="51"/>
      <c r="O10" s="52" t="s">
        <v>360</v>
      </c>
      <c r="P10" s="53" t="s">
        <v>361</v>
      </c>
      <c r="Q10" s="53" t="s">
        <v>28</v>
      </c>
      <c r="R10" s="53" t="s">
        <v>29</v>
      </c>
      <c r="S10" s="53" t="s">
        <v>362</v>
      </c>
      <c r="T10" s="53" t="s">
        <v>363</v>
      </c>
      <c r="U10" s="53" t="s">
        <v>364</v>
      </c>
      <c r="V10" s="53" t="s">
        <v>365</v>
      </c>
      <c r="AA10" s="51"/>
      <c r="AB10" s="52" t="s">
        <v>360</v>
      </c>
      <c r="AC10" s="53" t="s">
        <v>361</v>
      </c>
      <c r="AD10" s="53" t="s">
        <v>28</v>
      </c>
      <c r="AE10" s="53" t="s">
        <v>29</v>
      </c>
      <c r="AF10" s="53" t="s">
        <v>362</v>
      </c>
      <c r="AG10" s="53" t="s">
        <v>363</v>
      </c>
      <c r="AH10" s="53" t="s">
        <v>364</v>
      </c>
      <c r="AI10" s="53" t="s">
        <v>365</v>
      </c>
    </row>
    <row r="11" spans="1:38">
      <c r="A11" s="63">
        <v>2024</v>
      </c>
      <c r="B11" s="13">
        <v>697940</v>
      </c>
      <c r="C11" s="11">
        <v>0.59400951371178035</v>
      </c>
      <c r="D11" s="11">
        <v>0.49994412127116944</v>
      </c>
      <c r="E11" s="11">
        <v>9.4065392440610934E-2</v>
      </c>
      <c r="F11" s="11">
        <v>0.19158953491704159</v>
      </c>
      <c r="G11" s="11">
        <v>0.40241997879473879</v>
      </c>
      <c r="H11" s="11">
        <v>0.48935581855173799</v>
      </c>
      <c r="I11" s="11">
        <v>0.10465369516004241</v>
      </c>
      <c r="N11" s="63">
        <v>2024</v>
      </c>
      <c r="O11" s="13">
        <v>978514</v>
      </c>
      <c r="P11" s="11">
        <v>0.63161487725265042</v>
      </c>
      <c r="Q11" s="11">
        <v>0.50901264570563121</v>
      </c>
      <c r="R11" s="11">
        <v>0.12260223154701926</v>
      </c>
      <c r="S11" s="11">
        <v>0.17666890816074168</v>
      </c>
      <c r="T11" s="11">
        <v>0.45494596909190876</v>
      </c>
      <c r="U11" s="11">
        <v>0.48631598525928094</v>
      </c>
      <c r="V11" s="11">
        <v>0.14529889199336954</v>
      </c>
      <c r="AA11" s="63">
        <v>2024</v>
      </c>
      <c r="AB11" s="13">
        <v>684440</v>
      </c>
      <c r="AC11" s="11">
        <v>0.53441791829817076</v>
      </c>
      <c r="AD11" s="11">
        <v>0.4485506399392204</v>
      </c>
      <c r="AE11" s="11">
        <v>8.5867278358950389E-2</v>
      </c>
      <c r="AF11" s="11">
        <v>0.18958856875693997</v>
      </c>
      <c r="AG11" s="11">
        <v>0.34482934954123079</v>
      </c>
      <c r="AH11" s="11">
        <v>0.43925983285605752</v>
      </c>
      <c r="AI11" s="11">
        <v>9.5158085442113266E-2</v>
      </c>
    </row>
    <row r="12" spans="1:38">
      <c r="A12" s="63">
        <v>2025</v>
      </c>
      <c r="B12" s="13">
        <v>695996</v>
      </c>
      <c r="C12" s="11">
        <v>0.58720308737406535</v>
      </c>
      <c r="D12" s="11">
        <v>0.49587641308283381</v>
      </c>
      <c r="E12" s="11">
        <v>9.1326674291231563E-2</v>
      </c>
      <c r="F12" s="11">
        <v>0.19003701170696383</v>
      </c>
      <c r="G12" s="11">
        <v>0.39716607566710155</v>
      </c>
      <c r="H12" s="11">
        <v>0.48465221064488878</v>
      </c>
      <c r="I12" s="11">
        <v>0.10255087672917661</v>
      </c>
      <c r="N12" s="63">
        <v>2025</v>
      </c>
      <c r="O12" s="13">
        <v>950738</v>
      </c>
      <c r="P12" s="11">
        <v>0.62698766642334691</v>
      </c>
      <c r="Q12" s="11">
        <v>0.50609526494155066</v>
      </c>
      <c r="R12" s="11">
        <v>0.12089240148179625</v>
      </c>
      <c r="S12" s="11">
        <v>0.17747581352591354</v>
      </c>
      <c r="T12" s="11">
        <v>0.44951185289743334</v>
      </c>
      <c r="U12" s="11">
        <v>0.48300583336313474</v>
      </c>
      <c r="V12" s="11">
        <v>0.14398183306021217</v>
      </c>
      <c r="AA12" s="63">
        <v>2025</v>
      </c>
      <c r="AB12" s="13">
        <v>659950</v>
      </c>
      <c r="AC12" s="11">
        <v>0.53161451625123113</v>
      </c>
      <c r="AD12" s="11">
        <v>0.4465929237063414</v>
      </c>
      <c r="AE12" s="11">
        <v>8.5021592544889765E-2</v>
      </c>
      <c r="AF12" s="11">
        <v>0.19029168876430033</v>
      </c>
      <c r="AG12" s="11">
        <v>0.34132282748693082</v>
      </c>
      <c r="AH12" s="11">
        <v>0.43829381013713159</v>
      </c>
      <c r="AI12" s="11">
        <v>9.3320706114099553E-2</v>
      </c>
    </row>
    <row r="15" spans="1:38">
      <c r="A15" s="56" t="str">
        <f>CONCATENATE("Table 51a. College Enrollment Rates in the First Year after High School Graduation for Classes ",A17," and ",A18,", School Percentile Distribution")</f>
        <v>Table 51a. College Enrollment Rates in the First Year after High School Graduation for Classes 2023 and 2024, School Percentile Distribution</v>
      </c>
      <c r="B15" s="50"/>
      <c r="N15" s="56" t="str">
        <f>CONCATENATE("Table 51b. College Enrollment Rates in the First Year after High School Graduation for Classes ",N17," and ",N18,", School Percentile Distribution")</f>
        <v>Table 51b. College Enrollment Rates in the First Year after High School Graduation for Classes 2023 and 2024, School Percentile Distribution</v>
      </c>
      <c r="O15" s="50"/>
      <c r="AA15" s="56" t="str">
        <f>CONCATENATE("Table 51c. College Enrollment Rates in the First Year after High School Graduation for Classes ",AA17," and ",AA18,", School Percentile Distribution")</f>
        <v>Table 51c. College Enrollment Rates in the First Year after High School Graduation for Classes 2023 and 2024, School Percentile Distribution</v>
      </c>
      <c r="AB15" s="50"/>
    </row>
    <row r="16" spans="1:38" ht="28.9">
      <c r="A16" s="51"/>
      <c r="B16" s="52" t="s">
        <v>356</v>
      </c>
      <c r="C16" s="52" t="s">
        <v>357</v>
      </c>
      <c r="D16" s="52" t="s">
        <v>358</v>
      </c>
      <c r="E16" s="52" t="s">
        <v>359</v>
      </c>
      <c r="N16" s="51"/>
      <c r="O16" s="52" t="s">
        <v>356</v>
      </c>
      <c r="P16" s="52" t="s">
        <v>357</v>
      </c>
      <c r="Q16" s="52" t="s">
        <v>358</v>
      </c>
      <c r="R16" s="52" t="s">
        <v>359</v>
      </c>
      <c r="AA16" s="51"/>
      <c r="AB16" s="52" t="s">
        <v>356</v>
      </c>
      <c r="AC16" s="52" t="s">
        <v>357</v>
      </c>
      <c r="AD16" s="52" t="s">
        <v>358</v>
      </c>
      <c r="AE16" s="52" t="s">
        <v>359</v>
      </c>
    </row>
    <row r="17" spans="1:35">
      <c r="A17" s="63">
        <v>2023</v>
      </c>
      <c r="B17" s="13">
        <v>2709</v>
      </c>
      <c r="C17" s="11">
        <v>0.46452702702702703</v>
      </c>
      <c r="D17" s="11">
        <v>0.60857538035961267</v>
      </c>
      <c r="E17" s="11">
        <v>0.75609756097560976</v>
      </c>
      <c r="N17" s="63">
        <v>2023</v>
      </c>
      <c r="O17" s="13">
        <v>3188</v>
      </c>
      <c r="P17" s="11">
        <v>0.52772652726527269</v>
      </c>
      <c r="Q17" s="11">
        <v>0.65923081706255438</v>
      </c>
      <c r="R17" s="11">
        <v>0.78150606589038274</v>
      </c>
      <c r="AA17" s="63">
        <v>2023</v>
      </c>
      <c r="AB17" s="13">
        <v>6934</v>
      </c>
      <c r="AC17" s="11">
        <v>0.44</v>
      </c>
      <c r="AD17" s="11">
        <v>0.53964325003928959</v>
      </c>
      <c r="AE17" s="11">
        <v>0.64556962025316456</v>
      </c>
    </row>
    <row r="18" spans="1:35">
      <c r="A18" s="63">
        <v>2024</v>
      </c>
      <c r="B18" s="13">
        <v>2768</v>
      </c>
      <c r="C18" s="11">
        <v>0.46177511526722514</v>
      </c>
      <c r="D18" s="11">
        <v>0.60322664584959673</v>
      </c>
      <c r="E18" s="11">
        <v>0.74568837347606309</v>
      </c>
      <c r="N18" s="63">
        <v>2024</v>
      </c>
      <c r="O18" s="13">
        <v>3112</v>
      </c>
      <c r="P18" s="11">
        <v>0.52578817733990146</v>
      </c>
      <c r="Q18" s="11">
        <v>0.66011814897117937</v>
      </c>
      <c r="R18" s="11">
        <v>0.78325624713886566</v>
      </c>
      <c r="AA18" s="63">
        <v>2024</v>
      </c>
      <c r="AB18" s="13">
        <v>6936</v>
      </c>
      <c r="AC18" s="11">
        <v>0.43613021916493361</v>
      </c>
      <c r="AD18" s="11">
        <v>0.53457670347506014</v>
      </c>
      <c r="AE18" s="11">
        <v>0.63636363636363635</v>
      </c>
    </row>
    <row r="19" spans="1:35">
      <c r="B19" s="50"/>
      <c r="O19" s="50"/>
      <c r="AB19" s="50"/>
    </row>
    <row r="20" spans="1:35">
      <c r="A20" s="56" t="str">
        <f>CONCATENATE("Table 52a. College Enrollment Rates in the First Year after High School Graduation for Classes ",A22," and ",A23,", Student-Weighted Totals")</f>
        <v>Table 52a. College Enrollment Rates in the First Year after High School Graduation for Classes 2023 and 2024, Student-Weighted Totals</v>
      </c>
      <c r="B20" s="50"/>
      <c r="N20" s="56" t="str">
        <f>CONCATENATE("Table 52b. College Enrollment Rates in the First Year after High School Graduation for Classes ",N22," and ",N23,", Student-Weighted Totals")</f>
        <v>Table 52b. College Enrollment Rates in the First Year after High School Graduation for Classes 2023 and 2024, Student-Weighted Totals</v>
      </c>
      <c r="O20" s="50"/>
      <c r="AA20" s="56" t="str">
        <f>CONCATENATE("Table 52c. College Enrollment Rates in the First Year after High School Graduation for Classes ",AA22," and ",AA23,", Student-Weighted Totals")</f>
        <v>Table 52c. College Enrollment Rates in the First Year after High School Graduation for Classes 2023 and 2024, Student-Weighted Totals</v>
      </c>
      <c r="AB20" s="50"/>
    </row>
    <row r="21" spans="1:35" ht="28.9">
      <c r="A21" s="51"/>
      <c r="B21" s="52" t="s">
        <v>360</v>
      </c>
      <c r="C21" s="53" t="s">
        <v>361</v>
      </c>
      <c r="D21" s="53" t="s">
        <v>28</v>
      </c>
      <c r="E21" s="53" t="s">
        <v>29</v>
      </c>
      <c r="F21" s="53" t="s">
        <v>362</v>
      </c>
      <c r="G21" s="53" t="s">
        <v>363</v>
      </c>
      <c r="H21" s="53" t="s">
        <v>364</v>
      </c>
      <c r="I21" s="53" t="s">
        <v>365</v>
      </c>
      <c r="N21" s="51"/>
      <c r="O21" s="52" t="s">
        <v>360</v>
      </c>
      <c r="P21" s="53" t="s">
        <v>361</v>
      </c>
      <c r="Q21" s="53" t="s">
        <v>28</v>
      </c>
      <c r="R21" s="53" t="s">
        <v>29</v>
      </c>
      <c r="S21" s="53" t="s">
        <v>362</v>
      </c>
      <c r="T21" s="53" t="s">
        <v>363</v>
      </c>
      <c r="U21" s="53" t="s">
        <v>364</v>
      </c>
      <c r="V21" s="53" t="s">
        <v>365</v>
      </c>
      <c r="AA21" s="51"/>
      <c r="AB21" s="52" t="s">
        <v>360</v>
      </c>
      <c r="AC21" s="53" t="s">
        <v>361</v>
      </c>
      <c r="AD21" s="53" t="s">
        <v>28</v>
      </c>
      <c r="AE21" s="53" t="s">
        <v>29</v>
      </c>
      <c r="AF21" s="53" t="s">
        <v>362</v>
      </c>
      <c r="AG21" s="53" t="s">
        <v>363</v>
      </c>
      <c r="AH21" s="53" t="s">
        <v>364</v>
      </c>
      <c r="AI21" s="53" t="s">
        <v>365</v>
      </c>
    </row>
    <row r="22" spans="1:35">
      <c r="A22" s="63">
        <v>2023</v>
      </c>
      <c r="B22" s="13">
        <v>665914</v>
      </c>
      <c r="C22" s="11">
        <v>0.63480569563036671</v>
      </c>
      <c r="D22" s="11">
        <v>0.53177136987659068</v>
      </c>
      <c r="E22" s="11">
        <v>0.10303432575377601</v>
      </c>
      <c r="F22" s="11">
        <v>0.20721144171769929</v>
      </c>
      <c r="G22" s="11">
        <v>0.42759425391266742</v>
      </c>
      <c r="H22" s="11">
        <v>0.5245692386704589</v>
      </c>
      <c r="I22" s="11">
        <v>0.11023645695990773</v>
      </c>
      <c r="N22" s="63">
        <v>2023</v>
      </c>
      <c r="O22" s="13">
        <v>984175</v>
      </c>
      <c r="P22" s="11">
        <v>0.66808951660019811</v>
      </c>
      <c r="Q22" s="11">
        <v>0.53628572154342469</v>
      </c>
      <c r="R22" s="11">
        <v>0.13180379505677345</v>
      </c>
      <c r="S22" s="11">
        <v>0.1882073818172581</v>
      </c>
      <c r="T22" s="11">
        <v>0.47988213478294001</v>
      </c>
      <c r="U22" s="11">
        <v>0.51273198364112071</v>
      </c>
      <c r="V22" s="11">
        <v>0.15535753295907739</v>
      </c>
      <c r="AA22" s="63">
        <v>2023</v>
      </c>
      <c r="AB22" s="13">
        <v>694284</v>
      </c>
      <c r="AC22" s="11">
        <v>0.57376808337798368</v>
      </c>
      <c r="AD22" s="11">
        <v>0.48191086068525274</v>
      </c>
      <c r="AE22" s="11">
        <v>9.185722269273093E-2</v>
      </c>
      <c r="AF22" s="11">
        <v>0.20400873417794446</v>
      </c>
      <c r="AG22" s="11">
        <v>0.36975934920003917</v>
      </c>
      <c r="AH22" s="11">
        <v>0.47036659349776172</v>
      </c>
      <c r="AI22" s="11">
        <v>0.10340148988022192</v>
      </c>
    </row>
    <row r="23" spans="1:35">
      <c r="A23" s="63">
        <v>2024</v>
      </c>
      <c r="B23" s="13">
        <v>697940</v>
      </c>
      <c r="C23" s="11">
        <v>0.62893085365504198</v>
      </c>
      <c r="D23" s="11">
        <v>0.53017021520474539</v>
      </c>
      <c r="E23" s="11">
        <v>9.8760638450296589E-2</v>
      </c>
      <c r="F23" s="11">
        <v>0.21155830014041321</v>
      </c>
      <c r="G23" s="11">
        <v>0.41737255351462876</v>
      </c>
      <c r="H23" s="11">
        <v>0.51921655156603719</v>
      </c>
      <c r="I23" s="11">
        <v>0.10971430208900479</v>
      </c>
      <c r="N23" s="63">
        <v>2024</v>
      </c>
      <c r="O23" s="13">
        <v>978514</v>
      </c>
      <c r="P23" s="11">
        <v>0.66554080984022712</v>
      </c>
      <c r="Q23" s="11">
        <v>0.53834794392313245</v>
      </c>
      <c r="R23" s="11">
        <v>0.12719286591709469</v>
      </c>
      <c r="S23" s="11">
        <v>0.19405751987196912</v>
      </c>
      <c r="T23" s="11">
        <v>0.471483289968258</v>
      </c>
      <c r="U23" s="11">
        <v>0.515019713565672</v>
      </c>
      <c r="V23" s="11">
        <v>0.15052109627455509</v>
      </c>
      <c r="AA23" s="63">
        <v>2024</v>
      </c>
      <c r="AB23" s="13">
        <v>684440</v>
      </c>
      <c r="AC23" s="11">
        <v>0.56417509204605221</v>
      </c>
      <c r="AD23" s="11">
        <v>0.47422710537081408</v>
      </c>
      <c r="AE23" s="11">
        <v>8.9947986675238151E-2</v>
      </c>
      <c r="AF23" s="11">
        <v>0.20534451522412484</v>
      </c>
      <c r="AG23" s="11">
        <v>0.35883057682192743</v>
      </c>
      <c r="AH23" s="11">
        <v>0.46402752615276721</v>
      </c>
      <c r="AI23" s="11">
        <v>0.10014756589328502</v>
      </c>
    </row>
    <row r="26" spans="1:35">
      <c r="A26" s="56" t="str">
        <f>CONCATENATE("Table 53a. College Enrollment Rates in the First Two Years after High School Graduation for Classes ",A28," and ",A29,", School Percentile Distribution")</f>
        <v>Table 53a. College Enrollment Rates in the First Two Years after High School Graduation for Classes 2022 and 2023, School Percentile Distribution</v>
      </c>
      <c r="B26" s="50"/>
      <c r="N26" s="56" t="str">
        <f>CONCATENATE("Table 53b. College Enrollment Rates in the First Two Years after High School Graduation for Classes ",N28," and ",N29,", School Percentile Distribution")</f>
        <v>Table 53b. College Enrollment Rates in the First Two Years after High School Graduation for Classes 2022 and 2023, School Percentile Distribution</v>
      </c>
      <c r="O26" s="50"/>
      <c r="AA26" s="56" t="str">
        <f>CONCATENATE("Table 53c. College Enrollment Rates in the First Two Years after High School Graduation for Classes ",AA28," and ",AA29,", School Percentile Distribution")</f>
        <v>Table 53c. College Enrollment Rates in the First Two Years after High School Graduation for Classes 2022 and 2023, School Percentile Distribution</v>
      </c>
      <c r="AB26" s="50"/>
    </row>
    <row r="27" spans="1:35" ht="28.9">
      <c r="A27" s="51"/>
      <c r="B27" s="52" t="s">
        <v>356</v>
      </c>
      <c r="C27" s="53" t="s">
        <v>357</v>
      </c>
      <c r="D27" s="53" t="s">
        <v>358</v>
      </c>
      <c r="E27" s="53" t="s">
        <v>359</v>
      </c>
      <c r="N27" s="51"/>
      <c r="O27" s="52" t="s">
        <v>356</v>
      </c>
      <c r="P27" s="53" t="s">
        <v>357</v>
      </c>
      <c r="Q27" s="53" t="s">
        <v>358</v>
      </c>
      <c r="R27" s="53" t="s">
        <v>359</v>
      </c>
      <c r="AA27" s="51"/>
      <c r="AB27" s="52" t="s">
        <v>356</v>
      </c>
      <c r="AC27" s="53" t="s">
        <v>357</v>
      </c>
      <c r="AD27" s="53" t="s">
        <v>358</v>
      </c>
      <c r="AE27" s="53" t="s">
        <v>359</v>
      </c>
    </row>
    <row r="28" spans="1:35">
      <c r="A28" s="63">
        <v>2022</v>
      </c>
      <c r="B28" s="13">
        <v>2637</v>
      </c>
      <c r="C28" s="11">
        <v>0.45501285347043702</v>
      </c>
      <c r="D28" s="11">
        <v>0.6071428571428571</v>
      </c>
      <c r="E28" s="11">
        <v>0.75555555555555554</v>
      </c>
      <c r="N28" s="63">
        <v>2022</v>
      </c>
      <c r="O28" s="13">
        <v>3179</v>
      </c>
      <c r="P28" s="11">
        <v>0.56382978723404253</v>
      </c>
      <c r="Q28" s="11">
        <v>0.69308943089430897</v>
      </c>
      <c r="R28" s="11">
        <v>0.80778032036613268</v>
      </c>
      <c r="AA28" s="63">
        <v>2022</v>
      </c>
      <c r="AB28" s="13">
        <v>6936</v>
      </c>
      <c r="AC28" s="11">
        <v>0.46956521739130436</v>
      </c>
      <c r="AD28" s="11">
        <v>0.5714285714285714</v>
      </c>
      <c r="AE28" s="11">
        <v>0.67114275414563807</v>
      </c>
    </row>
    <row r="29" spans="1:35">
      <c r="A29" s="63">
        <v>2023</v>
      </c>
      <c r="B29" s="13">
        <v>2709</v>
      </c>
      <c r="C29" s="11">
        <v>0.51243781094527363</v>
      </c>
      <c r="D29" s="11">
        <v>0.65011820330969272</v>
      </c>
      <c r="E29" s="11">
        <v>0.78899082568807344</v>
      </c>
      <c r="N29" s="63">
        <v>2023</v>
      </c>
      <c r="O29" s="13">
        <v>3188</v>
      </c>
      <c r="P29" s="11">
        <v>0.56961669676901461</v>
      </c>
      <c r="Q29" s="11">
        <v>0.69841294750277239</v>
      </c>
      <c r="R29" s="11">
        <v>0.8123310810810811</v>
      </c>
      <c r="AA29" s="63">
        <v>2023</v>
      </c>
      <c r="AB29" s="13">
        <v>6934</v>
      </c>
      <c r="AC29" s="11">
        <v>0.47619047619047616</v>
      </c>
      <c r="AD29" s="11">
        <v>0.57538073008341617</v>
      </c>
      <c r="AE29" s="11">
        <v>0.67567567567567566</v>
      </c>
    </row>
    <row r="30" spans="1:35">
      <c r="B30" s="50"/>
      <c r="O30" s="50"/>
      <c r="AB30" s="50"/>
    </row>
    <row r="31" spans="1:35">
      <c r="A31" s="56" t="str">
        <f>CONCATENATE("Table 54a. College Enrollment Rates in the First Two Years after High School Graduation for Classes ",A33," and ",A34,", Student-Weighted Totals")</f>
        <v>Table 54a. College Enrollment Rates in the First Two Years after High School Graduation for Classes 2022 and 2023, Student-Weighted Totals</v>
      </c>
      <c r="B31" s="50"/>
      <c r="N31" s="56" t="str">
        <f>CONCATENATE("Table 54b. College Enrollment Rates in the First Two Years after High School Graduation for Classes ",N33," and ",N34,", Student-Weighted Totals")</f>
        <v>Table 54b. College Enrollment Rates in the First Two Years after High School Graduation for Classes 2022 and 2023, Student-Weighted Totals</v>
      </c>
      <c r="O31" s="50"/>
      <c r="AA31" s="56" t="str">
        <f>CONCATENATE("Table 54c. College Enrollment Rates in the First Two Years after High School Graduation for Classes ",AA33," and ",AA34,", Student-Weighted Totals")</f>
        <v>Table 54c. College Enrollment Rates in the First Two Years after High School Graduation for Classes 2022 and 2023, Student-Weighted Totals</v>
      </c>
      <c r="AB31" s="50"/>
    </row>
    <row r="32" spans="1:35" ht="28.9">
      <c r="A32" s="51"/>
      <c r="B32" s="52" t="s">
        <v>360</v>
      </c>
      <c r="C32" s="53" t="s">
        <v>361</v>
      </c>
      <c r="D32" s="53" t="s">
        <v>28</v>
      </c>
      <c r="E32" s="53" t="s">
        <v>29</v>
      </c>
      <c r="F32" s="53" t="s">
        <v>362</v>
      </c>
      <c r="G32" s="53" t="s">
        <v>363</v>
      </c>
      <c r="H32" s="53" t="s">
        <v>364</v>
      </c>
      <c r="I32" s="53" t="s">
        <v>365</v>
      </c>
      <c r="N32" s="51"/>
      <c r="O32" s="52" t="s">
        <v>360</v>
      </c>
      <c r="P32" s="53" t="s">
        <v>361</v>
      </c>
      <c r="Q32" s="53" t="s">
        <v>28</v>
      </c>
      <c r="R32" s="53" t="s">
        <v>29</v>
      </c>
      <c r="S32" s="53" t="s">
        <v>362</v>
      </c>
      <c r="T32" s="53" t="s">
        <v>363</v>
      </c>
      <c r="U32" s="53" t="s">
        <v>364</v>
      </c>
      <c r="V32" s="53" t="s">
        <v>365</v>
      </c>
      <c r="AA32" s="51"/>
      <c r="AB32" s="52" t="s">
        <v>360</v>
      </c>
      <c r="AC32" s="53" t="s">
        <v>361</v>
      </c>
      <c r="AD32" s="53" t="s">
        <v>28</v>
      </c>
      <c r="AE32" s="53" t="s">
        <v>29</v>
      </c>
      <c r="AF32" s="53" t="s">
        <v>362</v>
      </c>
      <c r="AG32" s="53" t="s">
        <v>363</v>
      </c>
      <c r="AH32" s="53" t="s">
        <v>364</v>
      </c>
      <c r="AI32" s="53" t="s">
        <v>365</v>
      </c>
    </row>
    <row r="33" spans="1:35">
      <c r="A33" s="63">
        <v>2022</v>
      </c>
      <c r="B33" s="13">
        <v>629003</v>
      </c>
      <c r="C33" s="11">
        <v>0.65182360020540442</v>
      </c>
      <c r="D33" s="11">
        <v>0.5508399800954844</v>
      </c>
      <c r="E33" s="11">
        <v>0.10098362010991999</v>
      </c>
      <c r="F33" s="11">
        <v>0.23242337476927774</v>
      </c>
      <c r="G33" s="11">
        <v>0.41940022543612671</v>
      </c>
      <c r="H33" s="11">
        <v>0.53115326953925501</v>
      </c>
      <c r="I33" s="11">
        <v>0.12067033066614945</v>
      </c>
      <c r="N33" s="63">
        <v>2022</v>
      </c>
      <c r="O33" s="13">
        <v>992931</v>
      </c>
      <c r="P33" s="11">
        <v>0.70158450083641255</v>
      </c>
      <c r="Q33" s="11">
        <v>0.56260807649272704</v>
      </c>
      <c r="R33" s="11">
        <v>0.13897642434368551</v>
      </c>
      <c r="S33" s="11">
        <v>0.20865196071026085</v>
      </c>
      <c r="T33" s="11">
        <v>0.49293254012615179</v>
      </c>
      <c r="U33" s="11">
        <v>0.53415796263788717</v>
      </c>
      <c r="V33" s="11">
        <v>0.16742653819852538</v>
      </c>
      <c r="AA33" s="63">
        <v>2022</v>
      </c>
      <c r="AB33" s="13">
        <v>693779</v>
      </c>
      <c r="AC33" s="11">
        <v>0.60457436734176162</v>
      </c>
      <c r="AD33" s="11">
        <v>0.50648405327921431</v>
      </c>
      <c r="AE33" s="11">
        <v>9.8090314062547299E-2</v>
      </c>
      <c r="AF33" s="11">
        <v>0.22479348611013017</v>
      </c>
      <c r="AG33" s="11">
        <v>0.3797808812316314</v>
      </c>
      <c r="AH33" s="11">
        <v>0.49070957754558731</v>
      </c>
      <c r="AI33" s="11">
        <v>0.11386478979617429</v>
      </c>
    </row>
    <row r="34" spans="1:35">
      <c r="A34" s="63">
        <v>2023</v>
      </c>
      <c r="B34" s="13">
        <v>665914</v>
      </c>
      <c r="C34" s="11">
        <v>0.67147859933865339</v>
      </c>
      <c r="D34" s="11">
        <v>0.56370191946707837</v>
      </c>
      <c r="E34" s="11">
        <v>0.10777667987157501</v>
      </c>
      <c r="F34" s="11">
        <v>0.23028198836486394</v>
      </c>
      <c r="G34" s="11">
        <v>0.44119661097378943</v>
      </c>
      <c r="H34" s="11">
        <v>0.55429079430677231</v>
      </c>
      <c r="I34" s="11">
        <v>0.11718780503188099</v>
      </c>
      <c r="N34" s="63">
        <v>2023</v>
      </c>
      <c r="O34" s="13">
        <v>984175</v>
      </c>
      <c r="P34" s="11">
        <v>0.70362079914649323</v>
      </c>
      <c r="Q34" s="11">
        <v>0.56697538547514414</v>
      </c>
      <c r="R34" s="11">
        <v>0.13664541367134911</v>
      </c>
      <c r="S34" s="11">
        <v>0.21005309015164986</v>
      </c>
      <c r="T34" s="11">
        <v>0.49356770899484342</v>
      </c>
      <c r="U34" s="11">
        <v>0.54136713490994992</v>
      </c>
      <c r="V34" s="11">
        <v>0.1622536642365433</v>
      </c>
      <c r="AA34" s="63">
        <v>2023</v>
      </c>
      <c r="AB34" s="13">
        <v>694284</v>
      </c>
      <c r="AC34" s="11">
        <v>0.60917002264203124</v>
      </c>
      <c r="AD34" s="11">
        <v>0.5126619654204907</v>
      </c>
      <c r="AE34" s="11">
        <v>9.6508057221540461E-2</v>
      </c>
      <c r="AF34" s="11">
        <v>0.22583697737525277</v>
      </c>
      <c r="AG34" s="11">
        <v>0.38333304526677842</v>
      </c>
      <c r="AH34" s="11">
        <v>0.49862448220036759</v>
      </c>
      <c r="AI34" s="11">
        <v>0.11054554044166365</v>
      </c>
    </row>
    <row r="37" spans="1:35">
      <c r="A37" s="56" t="str">
        <f>CONCATENATE("Table 55a. Persistence Rates from First to Second Year of College for Class of ",A39," and ",A40,", School Percentile Distribution")</f>
        <v>Table 55a. Persistence Rates from First to Second Year of College for Class of 2022 and 2023, School Percentile Distribution</v>
      </c>
      <c r="B37" s="50"/>
      <c r="N37" s="56" t="str">
        <f>CONCATENATE("Table 55b. Persistence Rates from First to Second Year of College for Class of ",N39," and ",N40,", School Percentile Distribution")</f>
        <v>Table 55b. Persistence Rates from First to Second Year of College for Class of 2022 and 2023, School Percentile Distribution</v>
      </c>
      <c r="O37" s="50"/>
      <c r="AA37" s="56" t="str">
        <f>CONCATENATE("Table 55c. Persistence Rates from First to Second Year of College for Class of ",AA39," and ",AA40,", School Percentile Distribution")</f>
        <v>Table 55c. Persistence Rates from First to Second Year of College for Class of 2022 and 2023, School Percentile Distribution</v>
      </c>
      <c r="AB37" s="50"/>
    </row>
    <row r="38" spans="1:35" ht="28.9">
      <c r="A38" s="51"/>
      <c r="B38" s="52" t="s">
        <v>356</v>
      </c>
      <c r="C38" s="53" t="s">
        <v>357</v>
      </c>
      <c r="D38" s="53" t="s">
        <v>358</v>
      </c>
      <c r="E38" s="53" t="s">
        <v>359</v>
      </c>
      <c r="N38" s="51"/>
      <c r="O38" s="52" t="s">
        <v>356</v>
      </c>
      <c r="P38" s="53" t="s">
        <v>357</v>
      </c>
      <c r="Q38" s="53" t="s">
        <v>358</v>
      </c>
      <c r="R38" s="53" t="s">
        <v>359</v>
      </c>
      <c r="AA38" s="51"/>
      <c r="AB38" s="52" t="s">
        <v>356</v>
      </c>
      <c r="AC38" s="53" t="s">
        <v>357</v>
      </c>
      <c r="AD38" s="53" t="s">
        <v>358</v>
      </c>
      <c r="AE38" s="53" t="s">
        <v>359</v>
      </c>
    </row>
    <row r="39" spans="1:35">
      <c r="A39" s="63">
        <v>2022</v>
      </c>
      <c r="B39" s="13">
        <v>2637</v>
      </c>
      <c r="C39" s="11">
        <v>0.6992481203007519</v>
      </c>
      <c r="D39" s="11">
        <v>0.8</v>
      </c>
      <c r="E39" s="11">
        <v>0.88115942028985506</v>
      </c>
      <c r="N39" s="63">
        <v>2022</v>
      </c>
      <c r="O39" s="13">
        <v>3179</v>
      </c>
      <c r="P39" s="11">
        <v>0.78378378378378377</v>
      </c>
      <c r="Q39" s="11">
        <v>0.859375</v>
      </c>
      <c r="R39" s="11">
        <v>0.91304347826086951</v>
      </c>
      <c r="AA39" s="63">
        <v>2022</v>
      </c>
      <c r="AB39" s="13">
        <v>6936</v>
      </c>
      <c r="AC39" s="11">
        <v>0.71052631578947367</v>
      </c>
      <c r="AD39" s="11">
        <v>0.79545454545454541</v>
      </c>
      <c r="AE39" s="11">
        <v>0.86446886446886451</v>
      </c>
    </row>
    <row r="40" spans="1:35">
      <c r="A40" s="63">
        <v>2023</v>
      </c>
      <c r="B40" s="13">
        <v>2709</v>
      </c>
      <c r="C40" s="11">
        <v>0.70370370370370372</v>
      </c>
      <c r="D40" s="11">
        <v>0.79850746268656714</v>
      </c>
      <c r="E40" s="11">
        <v>0.87671232876712324</v>
      </c>
      <c r="N40" s="63">
        <v>2023</v>
      </c>
      <c r="O40" s="13">
        <v>3188</v>
      </c>
      <c r="P40" s="11">
        <v>0.78947368421052633</v>
      </c>
      <c r="Q40" s="11">
        <v>0.86343612334801767</v>
      </c>
      <c r="R40" s="11">
        <v>0.91538461538461535</v>
      </c>
      <c r="AA40" s="63">
        <v>2023</v>
      </c>
      <c r="AB40" s="13">
        <v>6934</v>
      </c>
      <c r="AC40" s="11">
        <v>0.71739130434782605</v>
      </c>
      <c r="AD40" s="11">
        <v>0.8</v>
      </c>
      <c r="AE40" s="11">
        <v>0.86956521739130432</v>
      </c>
    </row>
    <row r="41" spans="1:35">
      <c r="B41" s="50"/>
      <c r="O41" s="50"/>
      <c r="AB41" s="50"/>
    </row>
    <row r="42" spans="1:35">
      <c r="A42" s="56" t="str">
        <f>CONCATENATE("Table 56a. Persistence Rates from First to Second Year of College for Class of ",A44," and ",A45,", Student-Weighted Totals")</f>
        <v>Table 56a. Persistence Rates from First to Second Year of College for Class of 2022 and 2023, Student-Weighted Totals</v>
      </c>
      <c r="B42" s="50"/>
      <c r="N42" s="56" t="str">
        <f>CONCATENATE("Table 56b. Persistence Rates from First to Second Year of College for Class of ",N44," and ",N45,", Student-Weighted Totals")</f>
        <v>Table 56b. Persistence Rates from First to Second Year of College for Class of 2022 and 2023, Student-Weighted Totals</v>
      </c>
      <c r="O42" s="50"/>
      <c r="AA42" s="56" t="str">
        <f>CONCATENATE("Table 56c. Persistence Rates from First to Second Year of College for Class of ",AA44," and ",AA45,", Student-Weighted Totals")</f>
        <v>Table 56c. Persistence Rates from First to Second Year of College for Class of 2022 and 2023, Student-Weighted Totals</v>
      </c>
      <c r="AB42" s="50"/>
    </row>
    <row r="43" spans="1:35" ht="43.15">
      <c r="A43" s="51"/>
      <c r="B43" s="52" t="s">
        <v>366</v>
      </c>
      <c r="C43" s="53" t="s">
        <v>361</v>
      </c>
      <c r="D43" s="53" t="s">
        <v>28</v>
      </c>
      <c r="E43" s="53" t="s">
        <v>29</v>
      </c>
      <c r="F43" s="53" t="s">
        <v>362</v>
      </c>
      <c r="G43" s="53" t="s">
        <v>363</v>
      </c>
      <c r="H43" s="53" t="s">
        <v>364</v>
      </c>
      <c r="I43" s="53" t="s">
        <v>365</v>
      </c>
      <c r="N43" s="51"/>
      <c r="O43" s="52" t="s">
        <v>366</v>
      </c>
      <c r="P43" s="53" t="s">
        <v>361</v>
      </c>
      <c r="Q43" s="53" t="s">
        <v>28</v>
      </c>
      <c r="R43" s="53" t="s">
        <v>29</v>
      </c>
      <c r="S43" s="53" t="s">
        <v>362</v>
      </c>
      <c r="T43" s="53" t="s">
        <v>363</v>
      </c>
      <c r="U43" s="53" t="s">
        <v>364</v>
      </c>
      <c r="V43" s="53" t="s">
        <v>365</v>
      </c>
      <c r="AA43" s="51"/>
      <c r="AB43" s="52" t="s">
        <v>366</v>
      </c>
      <c r="AC43" s="53" t="s">
        <v>361</v>
      </c>
      <c r="AD43" s="53" t="s">
        <v>28</v>
      </c>
      <c r="AE43" s="53" t="s">
        <v>29</v>
      </c>
      <c r="AF43" s="53" t="s">
        <v>362</v>
      </c>
      <c r="AG43" s="53" t="s">
        <v>363</v>
      </c>
      <c r="AH43" s="53" t="s">
        <v>364</v>
      </c>
      <c r="AI43" s="53" t="s">
        <v>365</v>
      </c>
    </row>
    <row r="44" spans="1:35">
      <c r="A44" s="63">
        <v>2022</v>
      </c>
      <c r="B44" s="13">
        <v>384968</v>
      </c>
      <c r="C44" s="11">
        <v>0.82674144344464995</v>
      </c>
      <c r="D44" s="11">
        <v>0.81701380871010942</v>
      </c>
      <c r="E44" s="11">
        <v>0.87924816778289261</v>
      </c>
      <c r="F44" s="11">
        <v>0.70004521315319601</v>
      </c>
      <c r="G44" s="11">
        <v>0.89171038412417725</v>
      </c>
      <c r="H44" s="11">
        <v>0.81090113222935134</v>
      </c>
      <c r="I44" s="11">
        <v>0.89669921490277738</v>
      </c>
      <c r="N44" s="63">
        <v>2022</v>
      </c>
      <c r="O44" s="13">
        <v>659594</v>
      </c>
      <c r="P44" s="11">
        <v>0.86536718041704441</v>
      </c>
      <c r="Q44" s="11">
        <v>0.85159233975989612</v>
      </c>
      <c r="R44" s="11">
        <v>0.91999819307042507</v>
      </c>
      <c r="S44" s="11">
        <v>0.73036181861461558</v>
      </c>
      <c r="T44" s="11">
        <v>0.91793154291732493</v>
      </c>
      <c r="U44" s="11">
        <v>0.84501305733247078</v>
      </c>
      <c r="V44" s="11">
        <v>0.92959565540617162</v>
      </c>
      <c r="AA44" s="63">
        <v>2022</v>
      </c>
      <c r="AB44" s="13">
        <v>394492</v>
      </c>
      <c r="AC44" s="11">
        <v>0.80894162619267307</v>
      </c>
      <c r="AD44" s="11">
        <v>0.79527196081701967</v>
      </c>
      <c r="AE44" s="11">
        <v>0.8785459487005266</v>
      </c>
      <c r="AF44" s="11">
        <v>0.68033602456220155</v>
      </c>
      <c r="AG44" s="11">
        <v>0.88024256466026762</v>
      </c>
      <c r="AH44" s="11">
        <v>0.7936967929302372</v>
      </c>
      <c r="AI44" s="11">
        <v>0.87543492443187998</v>
      </c>
    </row>
    <row r="45" spans="1:35">
      <c r="A45" s="63">
        <v>2023</v>
      </c>
      <c r="B45" s="13">
        <v>422726</v>
      </c>
      <c r="C45" s="11">
        <v>0.83421649011416377</v>
      </c>
      <c r="D45" s="11">
        <v>0.82334502448364089</v>
      </c>
      <c r="E45" s="11">
        <v>0.89032530752638017</v>
      </c>
      <c r="F45" s="11">
        <v>0.70415624886763051</v>
      </c>
      <c r="G45" s="11">
        <v>0.89724345984596532</v>
      </c>
      <c r="H45" s="11">
        <v>0.81904453821446366</v>
      </c>
      <c r="I45" s="11">
        <v>0.90641346992153449</v>
      </c>
      <c r="N45" s="63">
        <v>2023</v>
      </c>
      <c r="O45" s="13">
        <v>657517</v>
      </c>
      <c r="P45" s="11">
        <v>0.86812812444393073</v>
      </c>
      <c r="Q45" s="11">
        <v>0.85503761848734083</v>
      </c>
      <c r="R45" s="11">
        <v>0.9213910174378267</v>
      </c>
      <c r="S45" s="11">
        <v>0.73391855486991775</v>
      </c>
      <c r="T45" s="11">
        <v>0.92076444881089503</v>
      </c>
      <c r="U45" s="11">
        <v>0.84814255535870697</v>
      </c>
      <c r="V45" s="11">
        <v>0.93408720789540811</v>
      </c>
      <c r="AA45" s="63">
        <v>2023</v>
      </c>
      <c r="AB45" s="13">
        <v>398358</v>
      </c>
      <c r="AC45" s="11">
        <v>0.81704145517348714</v>
      </c>
      <c r="AD45" s="11">
        <v>0.80392906991688162</v>
      </c>
      <c r="AE45" s="11">
        <v>0.88583300666405329</v>
      </c>
      <c r="AF45" s="11">
        <v>0.69302456933069756</v>
      </c>
      <c r="AG45" s="11">
        <v>0.88546576399005916</v>
      </c>
      <c r="AH45" s="11">
        <v>0.80279145537835916</v>
      </c>
      <c r="AI45" s="11">
        <v>0.88186376932720434</v>
      </c>
    </row>
    <row r="48" spans="1:35">
      <c r="A48" s="56" t="str">
        <f>CONCATENATE("Table 57a. Six-Year Completion Rates for Class of ",,A50," and ",A51,", School Percentile Distribution")</f>
        <v>Table 57a. Six-Year Completion Rates for Class of 2018 and 2019, School Percentile Distribution</v>
      </c>
      <c r="B48" s="50"/>
      <c r="N48" s="56" t="str">
        <f>CONCATENATE("Table 57b. Six-Year Completion Rates for Class of ",N50," and ",N51,", School Percentile Distribution")</f>
        <v>Table 57b. Six-Year Completion Rates for Class of 2018 and 2019, School Percentile Distribution</v>
      </c>
      <c r="O48" s="50"/>
      <c r="AA48" s="56" t="str">
        <f>CONCATENATE("Table 57c. Six-Year Completion Rates for Class of ",AA50," and ",AA51,", School Percentile Distribution")</f>
        <v>Table 57c. Six-Year Completion Rates for Class of 2018 and 2019, School Percentile Distribution</v>
      </c>
      <c r="AB48" s="50"/>
    </row>
    <row r="49" spans="1:35" ht="28.9">
      <c r="A49" s="51"/>
      <c r="B49" s="52" t="s">
        <v>356</v>
      </c>
      <c r="C49" s="53" t="s">
        <v>357</v>
      </c>
      <c r="D49" s="53" t="s">
        <v>358</v>
      </c>
      <c r="E49" s="53" t="s">
        <v>359</v>
      </c>
      <c r="N49" s="51"/>
      <c r="O49" s="52" t="s">
        <v>356</v>
      </c>
      <c r="P49" s="53" t="s">
        <v>357</v>
      </c>
      <c r="Q49" s="53" t="s">
        <v>358</v>
      </c>
      <c r="R49" s="53" t="s">
        <v>359</v>
      </c>
      <c r="AA49" s="51"/>
      <c r="AB49" s="52" t="s">
        <v>356</v>
      </c>
      <c r="AC49" s="53" t="s">
        <v>357</v>
      </c>
      <c r="AD49" s="53" t="s">
        <v>358</v>
      </c>
      <c r="AE49" s="53" t="s">
        <v>359</v>
      </c>
    </row>
    <row r="50" spans="1:35">
      <c r="A50" s="63">
        <v>2018</v>
      </c>
      <c r="B50" s="13">
        <v>2349</v>
      </c>
      <c r="C50" s="11">
        <v>0.18571428571428572</v>
      </c>
      <c r="D50" s="11">
        <v>0.31330472103004292</v>
      </c>
      <c r="E50" s="11">
        <v>0.45617977528089887</v>
      </c>
      <c r="N50" s="63">
        <v>2018</v>
      </c>
      <c r="O50" s="13">
        <v>3084</v>
      </c>
      <c r="P50" s="11">
        <v>0.29215795070976092</v>
      </c>
      <c r="Q50" s="11">
        <v>0.43434360510046366</v>
      </c>
      <c r="R50" s="11">
        <v>0.58801188174748198</v>
      </c>
      <c r="AA50" s="63">
        <v>2018</v>
      </c>
      <c r="AB50" s="13">
        <v>6769</v>
      </c>
      <c r="AC50" s="11">
        <v>0.25688073394495414</v>
      </c>
      <c r="AD50" s="11">
        <v>0.34920634920634919</v>
      </c>
      <c r="AE50" s="11">
        <v>0.45454545454545453</v>
      </c>
    </row>
    <row r="51" spans="1:35">
      <c r="A51" s="63">
        <v>2019</v>
      </c>
      <c r="B51" s="13">
        <v>2334</v>
      </c>
      <c r="C51" s="11">
        <v>0.17953667953667954</v>
      </c>
      <c r="D51" s="11">
        <v>0.3078803836750047</v>
      </c>
      <c r="E51" s="11">
        <v>0.45356371490280778</v>
      </c>
      <c r="N51" s="63">
        <v>2019</v>
      </c>
      <c r="O51" s="13">
        <v>3108</v>
      </c>
      <c r="P51" s="11">
        <v>0.28743422557767107</v>
      </c>
      <c r="Q51" s="11">
        <v>0.42482876712328765</v>
      </c>
      <c r="R51" s="11">
        <v>0.57935043636150652</v>
      </c>
      <c r="AA51" s="63">
        <v>2019</v>
      </c>
      <c r="AB51" s="13">
        <v>6771</v>
      </c>
      <c r="AC51" s="11">
        <v>0.25</v>
      </c>
      <c r="AD51" s="11">
        <v>0.34</v>
      </c>
      <c r="AE51" s="11">
        <v>0.44594594594594594</v>
      </c>
    </row>
    <row r="52" spans="1:35">
      <c r="A52" s="58"/>
      <c r="B52" s="59"/>
      <c r="C52" s="61"/>
      <c r="D52" s="61"/>
      <c r="E52" s="61"/>
      <c r="N52" s="58"/>
      <c r="O52" s="59"/>
      <c r="P52" s="61"/>
      <c r="Q52" s="61"/>
      <c r="R52" s="61"/>
      <c r="AA52" s="58"/>
      <c r="AB52" s="59"/>
      <c r="AC52" s="61"/>
      <c r="AD52" s="61"/>
      <c r="AE52" s="61"/>
    </row>
    <row r="53" spans="1:35">
      <c r="A53" s="56" t="str">
        <f>CONCATENATE("Table 58a. Six-Year Completion Rates for Class of ",A55," and ",A56, ", Student-Weighted Totals")</f>
        <v>Table 58a. Six-Year Completion Rates for Class of 2018 and 2019, Student-Weighted Totals</v>
      </c>
      <c r="B53" s="50"/>
      <c r="N53" s="56" t="str">
        <f>CONCATENATE("Table 58b. Six-Year Completion Rates for Class of ",,N55," and ",N56, ", Student-Weighted Totals")</f>
        <v>Table 58b. Six-Year Completion Rates for Class of 2018 and 2019, Student-Weighted Totals</v>
      </c>
      <c r="O53" s="50"/>
      <c r="AA53" s="56" t="str">
        <f>CONCATENATE("Table 58c. Six-Year Completion Rates for Class of ",,AA55," and ",AA56, ", Student-Weighted Totals")</f>
        <v>Table 58c. Six-Year Completion Rates for Class of 2017 and 2018, Student-Weighted Totals</v>
      </c>
      <c r="AB53" s="50"/>
    </row>
    <row r="54" spans="1:35" ht="28.9">
      <c r="A54" s="51"/>
      <c r="B54" s="52" t="s">
        <v>360</v>
      </c>
      <c r="C54" s="53" t="s">
        <v>361</v>
      </c>
      <c r="D54" s="53" t="s">
        <v>28</v>
      </c>
      <c r="E54" s="53" t="s">
        <v>29</v>
      </c>
      <c r="F54" s="53" t="s">
        <v>362</v>
      </c>
      <c r="G54" s="53" t="s">
        <v>363</v>
      </c>
      <c r="H54" s="53" t="s">
        <v>364</v>
      </c>
      <c r="I54" s="53" t="s">
        <v>365</v>
      </c>
      <c r="N54" s="51"/>
      <c r="O54" s="52" t="s">
        <v>360</v>
      </c>
      <c r="P54" s="53" t="s">
        <v>361</v>
      </c>
      <c r="Q54" s="53" t="s">
        <v>28</v>
      </c>
      <c r="R54" s="53" t="s">
        <v>29</v>
      </c>
      <c r="S54" s="53" t="s">
        <v>362</v>
      </c>
      <c r="T54" s="53" t="s">
        <v>363</v>
      </c>
      <c r="U54" s="53" t="s">
        <v>364</v>
      </c>
      <c r="V54" s="53" t="s">
        <v>365</v>
      </c>
      <c r="AA54" s="51"/>
      <c r="AB54" s="52" t="s">
        <v>360</v>
      </c>
      <c r="AC54" s="53" t="s">
        <v>361</v>
      </c>
      <c r="AD54" s="53" t="s">
        <v>28</v>
      </c>
      <c r="AE54" s="53" t="s">
        <v>29</v>
      </c>
      <c r="AF54" s="53" t="s">
        <v>362</v>
      </c>
      <c r="AG54" s="53" t="s">
        <v>363</v>
      </c>
      <c r="AH54" s="53" t="s">
        <v>364</v>
      </c>
      <c r="AI54" s="53" t="s">
        <v>365</v>
      </c>
    </row>
    <row r="55" spans="1:35">
      <c r="A55" s="63">
        <v>2018</v>
      </c>
      <c r="B55" s="13">
        <v>627958</v>
      </c>
      <c r="C55" s="11">
        <v>0.37143566926450494</v>
      </c>
      <c r="D55" s="11">
        <v>0.29713452173553007</v>
      </c>
      <c r="E55" s="11">
        <v>7.4301147528974862E-2</v>
      </c>
      <c r="F55" s="11">
        <v>8.1597813866532476E-2</v>
      </c>
      <c r="G55" s="11">
        <v>0.28971523573232605</v>
      </c>
      <c r="H55" s="11">
        <v>0.29355466448393047</v>
      </c>
      <c r="I55" s="11">
        <v>7.7881004780574498E-2</v>
      </c>
      <c r="N55" s="63">
        <v>2018</v>
      </c>
      <c r="O55" s="13">
        <v>988801</v>
      </c>
      <c r="P55" s="11">
        <v>0.46134560948057296</v>
      </c>
      <c r="Q55" s="11">
        <v>0.34657125144493178</v>
      </c>
      <c r="R55" s="11">
        <v>0.11477435803564115</v>
      </c>
      <c r="S55" s="11">
        <v>8.4242430984596495E-2</v>
      </c>
      <c r="T55" s="11">
        <v>0.37701317049638905</v>
      </c>
      <c r="U55" s="11">
        <v>0.33901361345710612</v>
      </c>
      <c r="V55" s="11">
        <v>0.12233199602346681</v>
      </c>
      <c r="AA55" s="63">
        <v>2017</v>
      </c>
      <c r="AB55" s="13">
        <v>692347</v>
      </c>
      <c r="AC55" s="11">
        <v>0.3821263037176445</v>
      </c>
      <c r="AD55" s="11">
        <v>0.30756253728260541</v>
      </c>
      <c r="AE55" s="11">
        <v>7.4563766435039078E-2</v>
      </c>
      <c r="AF55" s="11">
        <v>0.10868394027850196</v>
      </c>
      <c r="AG55" s="11">
        <v>0.2734134761904074</v>
      </c>
      <c r="AH55" s="11">
        <v>0.30645182256874082</v>
      </c>
      <c r="AI55" s="11">
        <v>7.5674481148903655E-2</v>
      </c>
    </row>
    <row r="56" spans="1:35">
      <c r="A56" s="63">
        <v>2019</v>
      </c>
      <c r="B56" s="13">
        <v>637541</v>
      </c>
      <c r="C56" s="11">
        <v>0.36637329991326045</v>
      </c>
      <c r="D56" s="11">
        <v>0.29473084868267296</v>
      </c>
      <c r="E56" s="11">
        <v>7.1642451230587517E-2</v>
      </c>
      <c r="F56" s="11">
        <v>8.3094263741469179E-2</v>
      </c>
      <c r="G56" s="11">
        <v>0.28316296520537504</v>
      </c>
      <c r="H56" s="11">
        <v>0.28867319905700184</v>
      </c>
      <c r="I56" s="11">
        <v>7.7700100856258655E-2</v>
      </c>
      <c r="N56" s="63">
        <v>2019</v>
      </c>
      <c r="O56" s="13">
        <v>998277</v>
      </c>
      <c r="P56" s="11">
        <v>0.45538663116549816</v>
      </c>
      <c r="Q56" s="11">
        <v>0.3447429921755184</v>
      </c>
      <c r="R56" s="11">
        <v>0.11064363898997974</v>
      </c>
      <c r="S56" s="11">
        <v>8.4369368421790741E-2</v>
      </c>
      <c r="T56" s="11">
        <v>0.37092009532424369</v>
      </c>
      <c r="U56" s="11">
        <v>0.33416676934357897</v>
      </c>
      <c r="V56" s="11">
        <v>0.12121986182191917</v>
      </c>
      <c r="AA56" s="63">
        <v>2018</v>
      </c>
      <c r="AB56" s="13">
        <v>693160</v>
      </c>
      <c r="AC56" s="11">
        <v>0.37374343585896475</v>
      </c>
      <c r="AD56" s="11">
        <v>0.3024510935426164</v>
      </c>
      <c r="AE56" s="11">
        <v>7.1292342316348317E-2</v>
      </c>
      <c r="AF56" s="11">
        <v>0.10840498586185007</v>
      </c>
      <c r="AG56" s="11">
        <v>0.26533412199203649</v>
      </c>
      <c r="AH56" s="11">
        <v>0.2983654567488026</v>
      </c>
      <c r="AI56" s="11">
        <v>7.5377979110162155E-2</v>
      </c>
    </row>
  </sheetData>
  <mergeCells count="3">
    <mergeCell ref="A2:L2"/>
    <mergeCell ref="N2:Y2"/>
    <mergeCell ref="AA2:AL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38DD9-3A43-47E0-AB95-F292B3E4D564}">
  <dimension ref="A1:P56"/>
  <sheetViews>
    <sheetView topLeftCell="A38" zoomScaleNormal="100" workbookViewId="0">
      <selection activeCell="L62" sqref="L62"/>
    </sheetView>
  </sheetViews>
  <sheetFormatPr defaultRowHeight="14.45"/>
  <cols>
    <col min="2" max="2" width="14.5703125" customWidth="1"/>
    <col min="3" max="3" width="11.5703125" customWidth="1"/>
    <col min="4" max="4" width="10.5703125" customWidth="1"/>
    <col min="5" max="5" width="11.7109375" customWidth="1"/>
    <col min="13" max="13" width="13.7109375" customWidth="1"/>
  </cols>
  <sheetData>
    <row r="1" spans="1:16" ht="28.9">
      <c r="A1" s="45" t="s">
        <v>377</v>
      </c>
      <c r="B1" s="46"/>
      <c r="C1" s="46"/>
      <c r="D1" s="46"/>
      <c r="E1" s="46"/>
      <c r="F1" s="46"/>
      <c r="G1" s="46"/>
      <c r="H1" s="46"/>
      <c r="I1" s="46"/>
      <c r="J1" s="46"/>
      <c r="K1" s="46"/>
      <c r="L1" s="46"/>
      <c r="M1" s="46"/>
      <c r="N1" s="46"/>
      <c r="O1" s="46"/>
      <c r="P1" s="46"/>
    </row>
    <row r="2" spans="1:16" ht="14.45" customHeight="1">
      <c r="A2" s="45"/>
      <c r="B2" s="46"/>
      <c r="C2" s="46"/>
      <c r="D2" s="46"/>
      <c r="E2" s="46"/>
      <c r="F2" s="46"/>
      <c r="G2" s="46"/>
      <c r="H2" s="46"/>
      <c r="I2" s="46"/>
      <c r="J2" s="46"/>
      <c r="K2" s="46"/>
      <c r="L2" s="46"/>
      <c r="M2" s="46"/>
      <c r="N2" s="46"/>
      <c r="O2" s="46"/>
      <c r="P2" s="46"/>
    </row>
    <row r="3" spans="1:16">
      <c r="A3" s="48"/>
      <c r="B3" s="48"/>
      <c r="C3" s="48"/>
      <c r="D3" s="48"/>
      <c r="E3" s="48"/>
      <c r="F3" s="48"/>
      <c r="G3" s="48"/>
      <c r="H3" s="48"/>
      <c r="I3" s="48"/>
      <c r="J3" s="48"/>
      <c r="K3" s="48"/>
      <c r="L3" s="48"/>
      <c r="M3" s="49"/>
      <c r="N3" s="48"/>
      <c r="O3" s="48"/>
      <c r="P3" s="48"/>
    </row>
    <row r="4" spans="1:16">
      <c r="A4" s="2" t="str">
        <f>CONCATENATE("Table 59. College Enrollment Rates in the First Fall after High School Graduation for Classes ",A6," and ",A7,", School Percentile Distribution")</f>
        <v>Table 59. College Enrollment Rates in the First Fall after High School Graduation for Classes 2024 and 2025, School Percentile Distribution</v>
      </c>
      <c r="B4" s="50"/>
    </row>
    <row r="5" spans="1:16" ht="28.9">
      <c r="A5" s="51"/>
      <c r="B5" s="52" t="s">
        <v>356</v>
      </c>
      <c r="C5" s="53" t="s">
        <v>357</v>
      </c>
      <c r="D5" s="53" t="s">
        <v>358</v>
      </c>
      <c r="E5" s="53" t="s">
        <v>359</v>
      </c>
    </row>
    <row r="6" spans="1:16">
      <c r="A6" s="54">
        <v>2024</v>
      </c>
      <c r="B6" s="13">
        <v>1622</v>
      </c>
      <c r="C6" s="11">
        <v>0.2982456140350877</v>
      </c>
      <c r="D6" s="11">
        <v>0.52515822784810129</v>
      </c>
      <c r="E6" s="11">
        <v>0.7068965517241379</v>
      </c>
      <c r="G6" s="55"/>
      <c r="I6" s="55"/>
    </row>
    <row r="7" spans="1:16">
      <c r="A7" s="54">
        <v>2025</v>
      </c>
      <c r="B7" s="13">
        <v>1555</v>
      </c>
      <c r="C7" s="11">
        <v>0.28947368421052633</v>
      </c>
      <c r="D7" s="11">
        <v>0.53191489361702127</v>
      </c>
      <c r="E7" s="11">
        <v>0.7142857142857143</v>
      </c>
    </row>
    <row r="8" spans="1:16">
      <c r="B8" s="50"/>
    </row>
    <row r="9" spans="1:16">
      <c r="A9" s="2" t="str">
        <f>CONCATENATE("Table 60. College Enrollment Rates in the First Fall after High School Graduation for Classes ",A11," and ",A12,", Student-Weighted Totals")</f>
        <v>Table 60. College Enrollment Rates in the First Fall after High School Graduation for Classes 2024 and 2025, Student-Weighted Totals</v>
      </c>
      <c r="B9" s="50"/>
    </row>
    <row r="10" spans="1:16" ht="28.9">
      <c r="A10" s="51"/>
      <c r="B10" s="52" t="s">
        <v>360</v>
      </c>
      <c r="C10" s="53" t="s">
        <v>361</v>
      </c>
      <c r="D10" s="53" t="s">
        <v>28</v>
      </c>
      <c r="E10" s="53" t="s">
        <v>29</v>
      </c>
      <c r="F10" s="53" t="s">
        <v>362</v>
      </c>
      <c r="G10" s="53" t="s">
        <v>363</v>
      </c>
      <c r="H10" s="53" t="s">
        <v>364</v>
      </c>
      <c r="I10" s="53" t="s">
        <v>365</v>
      </c>
    </row>
    <row r="11" spans="1:16">
      <c r="A11" s="54">
        <v>2024</v>
      </c>
      <c r="B11" s="13">
        <v>119358</v>
      </c>
      <c r="C11" s="11">
        <v>0.53165267514536096</v>
      </c>
      <c r="D11" s="11">
        <v>0.43062048626820154</v>
      </c>
      <c r="E11" s="11">
        <v>0.10103218887715947</v>
      </c>
      <c r="F11" s="11">
        <v>0.1554650714656747</v>
      </c>
      <c r="G11" s="11">
        <v>0.37618760367968634</v>
      </c>
      <c r="H11" s="11">
        <v>0.44590224367030279</v>
      </c>
      <c r="I11" s="11">
        <v>8.5750431475058231E-2</v>
      </c>
    </row>
    <row r="12" spans="1:16">
      <c r="A12" s="54">
        <v>2025</v>
      </c>
      <c r="B12" s="13">
        <v>126658</v>
      </c>
      <c r="C12" s="11">
        <v>0.51380883955217993</v>
      </c>
      <c r="D12" s="11">
        <v>0.41669693189534018</v>
      </c>
      <c r="E12" s="11">
        <v>9.7111907656839677E-2</v>
      </c>
      <c r="F12" s="11">
        <v>0.15081558211877655</v>
      </c>
      <c r="G12" s="11">
        <v>0.36299325743340333</v>
      </c>
      <c r="H12" s="11">
        <v>0.4304978761704748</v>
      </c>
      <c r="I12" s="11">
        <v>8.3310963381705058E-2</v>
      </c>
    </row>
    <row r="15" spans="1:16">
      <c r="A15" s="56" t="str">
        <f>CONCATENATE("Table 61. College Enrollment Rates in the First Year after High School Graduation for Classes ",A17," and ",A18,", School Percentile Distribution")</f>
        <v>Table 61. College Enrollment Rates in the First Year after High School Graduation for Classes 2023 and 2024, School Percentile Distribution</v>
      </c>
      <c r="B15" s="50"/>
    </row>
    <row r="16" spans="1:16" ht="28.9">
      <c r="A16" s="51"/>
      <c r="B16" s="52" t="s">
        <v>356</v>
      </c>
      <c r="C16" s="52" t="s">
        <v>357</v>
      </c>
      <c r="D16" s="52" t="s">
        <v>358</v>
      </c>
      <c r="E16" s="52" t="s">
        <v>359</v>
      </c>
    </row>
    <row r="17" spans="1:9">
      <c r="A17" s="54">
        <v>2023</v>
      </c>
      <c r="B17" s="13">
        <v>1570</v>
      </c>
      <c r="C17" s="11">
        <v>0.33333333333333331</v>
      </c>
      <c r="D17" s="11">
        <v>0.56898525833691138</v>
      </c>
      <c r="E17" s="11">
        <v>0.75409836065573765</v>
      </c>
    </row>
    <row r="18" spans="1:9">
      <c r="A18" s="54">
        <v>2024</v>
      </c>
      <c r="B18" s="13">
        <v>1622</v>
      </c>
      <c r="C18" s="11">
        <v>0.33333333333333331</v>
      </c>
      <c r="D18" s="11">
        <v>0.56736587333602251</v>
      </c>
      <c r="E18" s="11">
        <v>0.74193548387096775</v>
      </c>
    </row>
    <row r="19" spans="1:9">
      <c r="B19" s="50"/>
    </row>
    <row r="20" spans="1:9">
      <c r="A20" s="56" t="str">
        <f>CONCATENATE("Table 62. College Enrollment Rates in the First Year after High School Graduation for Classes ",A22," and ",A23,", Student-Weighted Totals")</f>
        <v>Table 62. College Enrollment Rates in the First Year after High School Graduation for Classes 2023 and 2024, Student-Weighted Totals</v>
      </c>
      <c r="B20" s="50"/>
    </row>
    <row r="21" spans="1:9" ht="28.9">
      <c r="A21" s="51"/>
      <c r="B21" s="52" t="s">
        <v>360</v>
      </c>
      <c r="C21" s="53" t="s">
        <v>361</v>
      </c>
      <c r="D21" s="53" t="s">
        <v>28</v>
      </c>
      <c r="E21" s="53" t="s">
        <v>29</v>
      </c>
      <c r="F21" s="53" t="s">
        <v>362</v>
      </c>
      <c r="G21" s="53" t="s">
        <v>363</v>
      </c>
      <c r="H21" s="53" t="s">
        <v>364</v>
      </c>
      <c r="I21" s="53" t="s">
        <v>365</v>
      </c>
    </row>
    <row r="22" spans="1:9">
      <c r="A22" s="54">
        <v>2023</v>
      </c>
      <c r="B22" s="13">
        <v>112769</v>
      </c>
      <c r="C22" s="11">
        <v>0.56840089031560093</v>
      </c>
      <c r="D22" s="11">
        <v>0.45851253447312645</v>
      </c>
      <c r="E22" s="11">
        <v>0.10988835584247444</v>
      </c>
      <c r="F22" s="11">
        <v>0.17029502788887016</v>
      </c>
      <c r="G22" s="11">
        <v>0.39810586242673074</v>
      </c>
      <c r="H22" s="11">
        <v>0.47300233220122551</v>
      </c>
      <c r="I22" s="11">
        <v>9.5398558114375406E-2</v>
      </c>
    </row>
    <row r="23" spans="1:9">
      <c r="A23" s="54">
        <v>2024</v>
      </c>
      <c r="B23" s="13">
        <v>119358</v>
      </c>
      <c r="C23" s="11">
        <v>0.56896060590827591</v>
      </c>
      <c r="D23" s="11">
        <v>0.46210559828415354</v>
      </c>
      <c r="E23" s="11">
        <v>0.10685500762412239</v>
      </c>
      <c r="F23" s="11">
        <v>0.17557264699475528</v>
      </c>
      <c r="G23" s="11">
        <v>0.39338795891352069</v>
      </c>
      <c r="H23" s="11">
        <v>0.47696006970626181</v>
      </c>
      <c r="I23" s="11">
        <v>9.2000536202014108E-2</v>
      </c>
    </row>
    <row r="26" spans="1:9">
      <c r="A26" s="56" t="str">
        <f>CONCATENATE("Table 63. College Enrollment Rates in the First Two Years after High School Graduation for Classes ",A28," and ",A29,", School Percentile Distribution")</f>
        <v>Table 63. College Enrollment Rates in the First Two Years after High School Graduation for Classes 2022 and 2023, School Percentile Distribution</v>
      </c>
      <c r="B26" s="50"/>
    </row>
    <row r="27" spans="1:9" ht="28.9">
      <c r="A27" s="51"/>
      <c r="B27" s="52" t="s">
        <v>356</v>
      </c>
      <c r="C27" s="53" t="s">
        <v>357</v>
      </c>
      <c r="D27" s="53" t="s">
        <v>358</v>
      </c>
      <c r="E27" s="53" t="s">
        <v>359</v>
      </c>
    </row>
    <row r="28" spans="1:9">
      <c r="A28" s="54">
        <v>2022</v>
      </c>
      <c r="B28" s="13">
        <v>1528</v>
      </c>
      <c r="C28" s="11">
        <v>0.35165157612340708</v>
      </c>
      <c r="D28" s="11">
        <v>0.57746478873239437</v>
      </c>
      <c r="E28" s="11">
        <v>0.76028169014084512</v>
      </c>
    </row>
    <row r="29" spans="1:9">
      <c r="A29" s="54">
        <v>2023</v>
      </c>
      <c r="B29" s="13">
        <v>1570</v>
      </c>
      <c r="C29" s="11">
        <v>0.38586156111929309</v>
      </c>
      <c r="D29" s="11">
        <v>0.6235926628716002</v>
      </c>
      <c r="E29" s="11">
        <v>0.78947368421052633</v>
      </c>
    </row>
    <row r="30" spans="1:9">
      <c r="B30" s="50"/>
    </row>
    <row r="31" spans="1:9">
      <c r="A31" s="56" t="str">
        <f>CONCATENATE("Table 64. College Enrollment Rates in the First Two Years after High School Graduation for Classes ",A33," and ",A34,", Student-Weighted Totals")</f>
        <v>Table 64. College Enrollment Rates in the First Two Years after High School Graduation for Classes 2022 and 2023, Student-Weighted Totals</v>
      </c>
      <c r="B31" s="50"/>
    </row>
    <row r="32" spans="1:9" ht="28.9">
      <c r="A32" s="51"/>
      <c r="B32" s="52" t="s">
        <v>360</v>
      </c>
      <c r="C32" s="53" t="s">
        <v>361</v>
      </c>
      <c r="D32" s="53" t="s">
        <v>28</v>
      </c>
      <c r="E32" s="53" t="s">
        <v>29</v>
      </c>
      <c r="F32" s="53" t="s">
        <v>362</v>
      </c>
      <c r="G32" s="53" t="s">
        <v>363</v>
      </c>
      <c r="H32" s="53" t="s">
        <v>364</v>
      </c>
      <c r="I32" s="53" t="s">
        <v>365</v>
      </c>
    </row>
    <row r="33" spans="1:9">
      <c r="A33" s="54">
        <v>2022</v>
      </c>
      <c r="B33" s="13">
        <v>107849</v>
      </c>
      <c r="C33" s="11">
        <v>0.59811402980092532</v>
      </c>
      <c r="D33" s="11">
        <v>0.48444584558039483</v>
      </c>
      <c r="E33" s="11">
        <v>0.11366818422053056</v>
      </c>
      <c r="F33" s="11">
        <v>0.19954751550779332</v>
      </c>
      <c r="G33" s="11">
        <v>0.39856651429313206</v>
      </c>
      <c r="H33" s="11">
        <v>0.48980519059054789</v>
      </c>
      <c r="I33" s="11">
        <v>0.10830883921037747</v>
      </c>
    </row>
    <row r="34" spans="1:9">
      <c r="A34" s="54">
        <v>2023</v>
      </c>
      <c r="B34" s="13">
        <v>112769</v>
      </c>
      <c r="C34" s="11">
        <v>0.60855376920962323</v>
      </c>
      <c r="D34" s="11">
        <v>0.49273293192278017</v>
      </c>
      <c r="E34" s="11">
        <v>0.11582083728684302</v>
      </c>
      <c r="F34" s="11">
        <v>0.19476097154359798</v>
      </c>
      <c r="G34" s="11">
        <v>0.41379279766602522</v>
      </c>
      <c r="H34" s="11">
        <v>0.50482845462848835</v>
      </c>
      <c r="I34" s="11">
        <v>0.10372531458113489</v>
      </c>
    </row>
    <row r="37" spans="1:9">
      <c r="A37" s="56" t="str">
        <f>CONCATENATE("Table 65. Persistence Rates from First to Second Year of College for Class of ",A39," and ",A40,", School Percentile Distribution")</f>
        <v>Table 65. Persistence Rates from First to Second Year of College for Class of 2022 and 2023, School Percentile Distribution</v>
      </c>
      <c r="B37" s="50"/>
    </row>
    <row r="38" spans="1:9" ht="28.9">
      <c r="A38" s="51"/>
      <c r="B38" s="52" t="s">
        <v>356</v>
      </c>
      <c r="C38" s="53" t="s">
        <v>357</v>
      </c>
      <c r="D38" s="53" t="s">
        <v>358</v>
      </c>
      <c r="E38" s="53" t="s">
        <v>359</v>
      </c>
    </row>
    <row r="39" spans="1:9">
      <c r="A39" s="54">
        <v>2022</v>
      </c>
      <c r="B39" s="13">
        <v>1528</v>
      </c>
      <c r="C39" s="11">
        <v>0.63348416289592757</v>
      </c>
      <c r="D39" s="11">
        <v>0.76190476190476186</v>
      </c>
      <c r="E39" s="11">
        <v>0.87234042553191493</v>
      </c>
    </row>
    <row r="40" spans="1:9">
      <c r="A40" s="54">
        <v>2023</v>
      </c>
      <c r="B40" s="13">
        <v>1570</v>
      </c>
      <c r="C40" s="11">
        <v>0.66666666666666663</v>
      </c>
      <c r="D40" s="11">
        <v>0.77315608919382506</v>
      </c>
      <c r="E40" s="11">
        <v>0.8771929824561403</v>
      </c>
    </row>
    <row r="41" spans="1:9">
      <c r="B41" s="50"/>
    </row>
    <row r="42" spans="1:9">
      <c r="A42" s="56" t="str">
        <f>CONCATENATE("Table 66. Persistence Rates from First to Second Year of College for Class of ",A44," and ",A45,", Student-Weighted Totals")</f>
        <v>Table 66. Persistence Rates from First to Second Year of College for Class of 2022 and 2023, Student-Weighted Totals</v>
      </c>
      <c r="B42" s="50"/>
    </row>
    <row r="43" spans="1:9" ht="43.15">
      <c r="A43" s="51"/>
      <c r="B43" s="52" t="s">
        <v>366</v>
      </c>
      <c r="C43" s="53" t="s">
        <v>361</v>
      </c>
      <c r="D43" s="53" t="s">
        <v>28</v>
      </c>
      <c r="E43" s="53" t="s">
        <v>29</v>
      </c>
      <c r="F43" s="53" t="s">
        <v>362</v>
      </c>
      <c r="G43" s="53" t="s">
        <v>363</v>
      </c>
      <c r="H43" s="53" t="s">
        <v>364</v>
      </c>
      <c r="I43" s="53" t="s">
        <v>365</v>
      </c>
    </row>
    <row r="44" spans="1:9">
      <c r="A44" s="54">
        <v>2022</v>
      </c>
      <c r="B44" s="13">
        <v>60015</v>
      </c>
      <c r="C44" s="11">
        <v>0.78470382404398897</v>
      </c>
      <c r="D44" s="11">
        <v>0.77206959895973082</v>
      </c>
      <c r="E44" s="11">
        <v>0.83762752896420545</v>
      </c>
      <c r="F44" s="11">
        <v>0.65965960625300113</v>
      </c>
      <c r="G44" s="11">
        <v>0.84149059895328548</v>
      </c>
      <c r="H44" s="11">
        <v>0.76973684210526316</v>
      </c>
      <c r="I44" s="11">
        <v>0.85316244079130676</v>
      </c>
    </row>
    <row r="45" spans="1:9">
      <c r="A45" s="54">
        <v>2023</v>
      </c>
      <c r="B45" s="13">
        <v>64098</v>
      </c>
      <c r="C45" s="11">
        <v>0.79648350962588532</v>
      </c>
      <c r="D45" s="11">
        <v>0.78453177580938382</v>
      </c>
      <c r="E45" s="11">
        <v>0.84635248547449971</v>
      </c>
      <c r="F45" s="11">
        <v>0.6664757342220371</v>
      </c>
      <c r="G45" s="11">
        <v>0.85209604846972864</v>
      </c>
      <c r="H45" s="11">
        <v>0.78295838020247466</v>
      </c>
      <c r="I45" s="11">
        <v>0.86354340955567954</v>
      </c>
    </row>
    <row r="48" spans="1:9">
      <c r="A48" s="56" t="str">
        <f>CONCATENATE("Table 67. Six-Year Completion Rates for Class of ",,A50," and ",A51,", School Percentile Distribution")</f>
        <v>Table 67. Six-Year Completion Rates for Class of 2018 and 2019, School Percentile Distribution</v>
      </c>
      <c r="B48" s="50"/>
    </row>
    <row r="49" spans="1:9" ht="28.9">
      <c r="A49" s="51"/>
      <c r="B49" s="52" t="s">
        <v>356</v>
      </c>
      <c r="C49" s="53" t="s">
        <v>357</v>
      </c>
      <c r="D49" s="53" t="s">
        <v>358</v>
      </c>
      <c r="E49" s="53" t="s">
        <v>359</v>
      </c>
    </row>
    <row r="50" spans="1:9">
      <c r="A50" s="54">
        <v>2018</v>
      </c>
      <c r="B50" s="13">
        <v>1403</v>
      </c>
      <c r="C50" s="11">
        <v>9.0909090909090912E-2</v>
      </c>
      <c r="D50" s="11">
        <v>0.23958333333333334</v>
      </c>
      <c r="E50" s="11">
        <v>0.41379310344827586</v>
      </c>
    </row>
    <row r="51" spans="1:9">
      <c r="A51" s="54">
        <v>2019</v>
      </c>
      <c r="B51" s="13">
        <v>1400</v>
      </c>
      <c r="C51" s="11">
        <v>8.4523809523809529E-2</v>
      </c>
      <c r="D51" s="11">
        <v>0.23223304473304474</v>
      </c>
      <c r="E51" s="11">
        <v>0.4</v>
      </c>
    </row>
    <row r="52" spans="1:9">
      <c r="A52" s="58"/>
      <c r="B52" s="59"/>
      <c r="C52" s="61"/>
      <c r="D52" s="61"/>
      <c r="E52" s="61"/>
    </row>
    <row r="53" spans="1:9">
      <c r="A53" s="56" t="str">
        <f>CONCATENATE("Table 68. Six-Year Completion Rates for Class of ",A55," and ",A56, ", Student-Weighted Totals")</f>
        <v>Table 68. Six-Year Completion Rates for Class of 2018 and 2019, Student-Weighted Totals</v>
      </c>
      <c r="B53" s="50"/>
    </row>
    <row r="54" spans="1:9" ht="28.9">
      <c r="A54" s="51"/>
      <c r="B54" s="52" t="s">
        <v>360</v>
      </c>
      <c r="C54" s="53" t="s">
        <v>361</v>
      </c>
      <c r="D54" s="53" t="s">
        <v>28</v>
      </c>
      <c r="E54" s="53" t="s">
        <v>29</v>
      </c>
      <c r="F54" s="53" t="s">
        <v>362</v>
      </c>
      <c r="G54" s="53" t="s">
        <v>363</v>
      </c>
      <c r="H54" s="53" t="s">
        <v>364</v>
      </c>
      <c r="I54" s="53" t="s">
        <v>365</v>
      </c>
    </row>
    <row r="55" spans="1:9">
      <c r="A55" s="54">
        <v>2018</v>
      </c>
      <c r="B55" s="13">
        <v>89890</v>
      </c>
      <c r="C55" s="11">
        <v>0.31363889197908557</v>
      </c>
      <c r="D55" s="11">
        <v>0.24161753253977084</v>
      </c>
      <c r="E55" s="11">
        <v>7.2021359439314717E-2</v>
      </c>
      <c r="F55" s="11">
        <v>7.4936032929135615E-2</v>
      </c>
      <c r="G55" s="11">
        <v>0.2386027366781622</v>
      </c>
      <c r="H55" s="11">
        <v>0.24841472911336077</v>
      </c>
      <c r="I55" s="11">
        <v>6.5224162865724772E-2</v>
      </c>
    </row>
    <row r="56" spans="1:9">
      <c r="A56" s="54">
        <v>2019</v>
      </c>
      <c r="B56" s="13">
        <v>92574</v>
      </c>
      <c r="C56" s="11">
        <v>0.29945773111240737</v>
      </c>
      <c r="D56" s="11">
        <v>0.22809860219932163</v>
      </c>
      <c r="E56" s="11">
        <v>7.1359128913085754E-2</v>
      </c>
      <c r="F56" s="11">
        <v>7.2482554496942991E-2</v>
      </c>
      <c r="G56" s="11">
        <v>0.22686715492470888</v>
      </c>
      <c r="H56" s="11">
        <v>0.23560610970682913</v>
      </c>
      <c r="I56" s="11">
        <v>6.3851621405578235E-2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C2AB3-CFD1-4026-8A01-67C5BD7D7ED0}">
  <dimension ref="A1:P56"/>
  <sheetViews>
    <sheetView topLeftCell="A42" zoomScaleNormal="100" workbookViewId="0">
      <selection activeCell="L37" sqref="L37"/>
    </sheetView>
  </sheetViews>
  <sheetFormatPr defaultRowHeight="14.45"/>
  <cols>
    <col min="2" max="2" width="14.5703125" customWidth="1"/>
    <col min="3" max="3" width="11.5703125" customWidth="1"/>
    <col min="4" max="4" width="10.5703125" customWidth="1"/>
    <col min="5" max="5" width="11.7109375" customWidth="1"/>
    <col min="13" max="13" width="13.7109375" customWidth="1"/>
  </cols>
  <sheetData>
    <row r="1" spans="1:16" ht="28.9">
      <c r="A1" s="45" t="s">
        <v>378</v>
      </c>
      <c r="B1" s="46"/>
      <c r="C1" s="46"/>
      <c r="D1" s="46"/>
      <c r="E1" s="46"/>
      <c r="F1" s="46"/>
      <c r="G1" s="46"/>
      <c r="H1" s="46"/>
      <c r="I1" s="46"/>
      <c r="J1" s="46"/>
      <c r="K1" s="46"/>
      <c r="L1" s="46"/>
      <c r="M1" s="46"/>
      <c r="N1" s="46"/>
      <c r="O1" s="46"/>
      <c r="P1" s="46"/>
    </row>
    <row r="2" spans="1:16" ht="14.45" customHeight="1">
      <c r="A2" s="45"/>
      <c r="B2" s="46"/>
      <c r="C2" s="46"/>
      <c r="D2" s="46"/>
      <c r="E2" s="46"/>
      <c r="F2" s="46"/>
      <c r="G2" s="46"/>
      <c r="H2" s="46"/>
      <c r="I2" s="46"/>
      <c r="J2" s="46"/>
      <c r="K2" s="46"/>
      <c r="L2" s="46"/>
      <c r="M2" s="46"/>
      <c r="N2" s="46"/>
      <c r="O2" s="46"/>
      <c r="P2" s="46"/>
    </row>
    <row r="3" spans="1:16">
      <c r="A3" s="79" t="s">
        <v>379</v>
      </c>
      <c r="B3" s="48"/>
      <c r="C3" s="48"/>
      <c r="D3" s="48"/>
      <c r="E3" s="48"/>
      <c r="F3" s="48"/>
      <c r="G3" s="48"/>
      <c r="H3" s="48"/>
      <c r="I3" s="48"/>
      <c r="J3" s="48"/>
      <c r="K3" s="48"/>
      <c r="L3" s="48"/>
      <c r="M3" s="49"/>
      <c r="N3" s="48"/>
      <c r="O3" s="48"/>
      <c r="P3" s="48"/>
    </row>
    <row r="4" spans="1:16">
      <c r="A4" s="2" t="str">
        <f>CONCATENATE("Table 69. College Enrollment Rates in the First Fall after High School Graduation for Classes ",A6," and ",A7,", School Percentile Distribution")</f>
        <v>Table 69. College Enrollment Rates in the First Fall after High School Graduation for Classes 2024 and 2025, School Percentile Distribution</v>
      </c>
      <c r="B4" s="50"/>
    </row>
    <row r="5" spans="1:16" ht="28.9">
      <c r="A5" s="51"/>
      <c r="B5" s="52" t="s">
        <v>356</v>
      </c>
      <c r="C5" s="53" t="s">
        <v>357</v>
      </c>
      <c r="D5" s="53" t="s">
        <v>358</v>
      </c>
      <c r="E5" s="53" t="s">
        <v>359</v>
      </c>
    </row>
    <row r="6" spans="1:16">
      <c r="A6" s="54">
        <v>2024</v>
      </c>
      <c r="B6" s="62">
        <v>245</v>
      </c>
      <c r="C6" s="11">
        <v>0.71724137931034482</v>
      </c>
      <c r="D6" s="11">
        <v>0.8571428571428571</v>
      </c>
      <c r="E6" s="11">
        <v>0.91176470588235292</v>
      </c>
      <c r="G6" s="55"/>
      <c r="I6" s="55"/>
    </row>
    <row r="7" spans="1:16">
      <c r="A7" s="54">
        <v>2025</v>
      </c>
      <c r="B7" s="62">
        <v>221</v>
      </c>
      <c r="C7" s="11">
        <v>0.7</v>
      </c>
      <c r="D7" s="11">
        <v>0.83750000000000002</v>
      </c>
      <c r="E7" s="11">
        <v>0.89265536723163841</v>
      </c>
    </row>
    <row r="8" spans="1:16">
      <c r="B8" s="82"/>
    </row>
    <row r="9" spans="1:16">
      <c r="A9" s="2" t="str">
        <f>CONCATENATE("Table 70. College Enrollment Rates in the First Fall after High School Graduation for Classes ",A11," and ",A12,", Student-Weighted Totals")</f>
        <v>Table 70. College Enrollment Rates in the First Fall after High School Graduation for Classes 2024 and 2025, Student-Weighted Totals</v>
      </c>
      <c r="B9" s="82"/>
    </row>
    <row r="10" spans="1:16" ht="28.9">
      <c r="A10" s="51"/>
      <c r="B10" s="83" t="s">
        <v>360</v>
      </c>
      <c r="C10" s="53" t="s">
        <v>361</v>
      </c>
      <c r="D10" s="53" t="s">
        <v>28</v>
      </c>
      <c r="E10" s="53" t="s">
        <v>29</v>
      </c>
      <c r="F10" s="53" t="s">
        <v>362</v>
      </c>
      <c r="G10" s="53" t="s">
        <v>363</v>
      </c>
      <c r="H10" s="53" t="s">
        <v>364</v>
      </c>
      <c r="I10" s="53" t="s">
        <v>365</v>
      </c>
    </row>
    <row r="11" spans="1:16">
      <c r="A11" s="54">
        <v>2024</v>
      </c>
      <c r="B11" s="62">
        <v>22861</v>
      </c>
      <c r="C11" s="11">
        <v>0.85110012685359349</v>
      </c>
      <c r="D11" s="11">
        <v>0.52666112593499848</v>
      </c>
      <c r="E11" s="11">
        <v>0.32443900091859501</v>
      </c>
      <c r="F11" s="11">
        <v>9.0897161104063692E-2</v>
      </c>
      <c r="G11" s="11">
        <v>0.76020296574952972</v>
      </c>
      <c r="H11" s="11">
        <v>0.52985433708061769</v>
      </c>
      <c r="I11" s="11">
        <v>0.3212457897729758</v>
      </c>
    </row>
    <row r="12" spans="1:16">
      <c r="A12" s="54">
        <v>2025</v>
      </c>
      <c r="B12" s="62">
        <v>20671</v>
      </c>
      <c r="C12" s="11">
        <v>0.8288907164626772</v>
      </c>
      <c r="D12" s="11">
        <v>0.51163465724928647</v>
      </c>
      <c r="E12" s="11">
        <v>0.31725605921339073</v>
      </c>
      <c r="F12" s="11">
        <v>8.7223646654733686E-2</v>
      </c>
      <c r="G12" s="11">
        <v>0.7416670698079435</v>
      </c>
      <c r="H12" s="11">
        <v>0.52701852837308305</v>
      </c>
      <c r="I12" s="11">
        <v>0.3018721880895941</v>
      </c>
    </row>
    <row r="13" spans="1:16">
      <c r="B13" s="82"/>
    </row>
    <row r="14" spans="1:16">
      <c r="B14" s="82"/>
    </row>
    <row r="15" spans="1:16">
      <c r="A15" s="56" t="str">
        <f>CONCATENATE("Table 71. College Enrollment Rates in the First Year after High School Graduation for Classes ",A17," and ",A18,", School Percentile Distribution")</f>
        <v>Table 71. College Enrollment Rates in the First Year after High School Graduation for Classes 2023 and 2024, School Percentile Distribution</v>
      </c>
      <c r="B15" s="82"/>
    </row>
    <row r="16" spans="1:16" ht="28.9">
      <c r="A16" s="51"/>
      <c r="B16" s="83" t="s">
        <v>356</v>
      </c>
      <c r="C16" s="52" t="s">
        <v>357</v>
      </c>
      <c r="D16" s="52" t="s">
        <v>358</v>
      </c>
      <c r="E16" s="52" t="s">
        <v>359</v>
      </c>
    </row>
    <row r="17" spans="1:9">
      <c r="A17" s="54">
        <v>2023</v>
      </c>
      <c r="B17" s="62">
        <v>249</v>
      </c>
      <c r="C17" s="11">
        <v>0.7321428571428571</v>
      </c>
      <c r="D17" s="11">
        <v>0.86084905660377353</v>
      </c>
      <c r="E17" s="11">
        <v>0.92465753424657537</v>
      </c>
    </row>
    <row r="18" spans="1:9">
      <c r="A18" s="54">
        <v>2024</v>
      </c>
      <c r="B18" s="62">
        <v>245</v>
      </c>
      <c r="C18" s="11">
        <v>0.72764227642276424</v>
      </c>
      <c r="D18" s="11">
        <v>0.86842105263157898</v>
      </c>
      <c r="E18" s="11">
        <v>0.92198581560283688</v>
      </c>
    </row>
    <row r="19" spans="1:9">
      <c r="B19" s="82"/>
    </row>
    <row r="20" spans="1:9">
      <c r="A20" s="56" t="str">
        <f>CONCATENATE("Table 72. College Enrollment Rates in the First Year after High School Graduation for Classes ",A22," and ",A23,", Student-Weighted Totals")</f>
        <v>Table 72. College Enrollment Rates in the First Year after High School Graduation for Classes 2023 and 2024, Student-Weighted Totals</v>
      </c>
      <c r="B20" s="82"/>
    </row>
    <row r="21" spans="1:9" ht="28.9">
      <c r="A21" s="51"/>
      <c r="B21" s="83" t="s">
        <v>360</v>
      </c>
      <c r="C21" s="53" t="s">
        <v>361</v>
      </c>
      <c r="D21" s="53" t="s">
        <v>28</v>
      </c>
      <c r="E21" s="53" t="s">
        <v>29</v>
      </c>
      <c r="F21" s="53" t="s">
        <v>362</v>
      </c>
      <c r="G21" s="53" t="s">
        <v>363</v>
      </c>
      <c r="H21" s="53" t="s">
        <v>364</v>
      </c>
      <c r="I21" s="53" t="s">
        <v>365</v>
      </c>
    </row>
    <row r="22" spans="1:9">
      <c r="A22" s="54">
        <v>2023</v>
      </c>
      <c r="B22" s="62">
        <v>24134</v>
      </c>
      <c r="C22" s="11">
        <v>0.86214469213557632</v>
      </c>
      <c r="D22" s="11">
        <v>0.5105245711444435</v>
      </c>
      <c r="E22" s="11">
        <v>0.35162012099113282</v>
      </c>
      <c r="F22" s="11">
        <v>8.6185464489931224E-2</v>
      </c>
      <c r="G22" s="11">
        <v>0.77595922764564518</v>
      </c>
      <c r="H22" s="11">
        <v>0.51939172951023449</v>
      </c>
      <c r="I22" s="11">
        <v>0.34275296262534183</v>
      </c>
    </row>
    <row r="23" spans="1:9">
      <c r="A23" s="54">
        <v>2024</v>
      </c>
      <c r="B23" s="62">
        <v>22861</v>
      </c>
      <c r="C23" s="11">
        <v>0.86667249901579113</v>
      </c>
      <c r="D23" s="11">
        <v>0.5360657888981234</v>
      </c>
      <c r="E23" s="11">
        <v>0.33060671011766762</v>
      </c>
      <c r="F23" s="11">
        <v>9.4440313197147976E-2</v>
      </c>
      <c r="G23" s="11">
        <v>0.77223218581864306</v>
      </c>
      <c r="H23" s="11">
        <v>0.54048379335987051</v>
      </c>
      <c r="I23" s="11">
        <v>0.32618870565592056</v>
      </c>
    </row>
    <row r="24" spans="1:9">
      <c r="B24" s="82"/>
    </row>
    <row r="25" spans="1:9">
      <c r="B25" s="82"/>
    </row>
    <row r="26" spans="1:9">
      <c r="A26" s="56" t="str">
        <f>CONCATENATE("Table 73. College Enrollment Rates in the First Two Years after High School Graduation for Classes ",A28," and ",A29,", School Percentile Distribution")</f>
        <v>Table 73. College Enrollment Rates in the First Two Years after High School Graduation for Classes 2022 and 2023, School Percentile Distribution</v>
      </c>
      <c r="B26" s="82"/>
    </row>
    <row r="27" spans="1:9" ht="28.9">
      <c r="A27" s="51"/>
      <c r="B27" s="83" t="s">
        <v>356</v>
      </c>
      <c r="C27" s="53" t="s">
        <v>357</v>
      </c>
      <c r="D27" s="53" t="s">
        <v>358</v>
      </c>
      <c r="E27" s="53" t="s">
        <v>359</v>
      </c>
    </row>
    <row r="28" spans="1:9">
      <c r="A28" s="54">
        <v>2022</v>
      </c>
      <c r="B28" s="62">
        <v>238</v>
      </c>
      <c r="C28" s="11">
        <v>0.77586206896551724</v>
      </c>
      <c r="D28" s="11">
        <v>0.87609649122807021</v>
      </c>
      <c r="E28" s="11">
        <v>0.93023255813953487</v>
      </c>
    </row>
    <row r="29" spans="1:9">
      <c r="A29" s="54">
        <v>2023</v>
      </c>
      <c r="B29" s="62">
        <v>249</v>
      </c>
      <c r="C29" s="11">
        <v>0.78125</v>
      </c>
      <c r="D29" s="11">
        <v>0.8839285714285714</v>
      </c>
      <c r="E29" s="11">
        <v>0.94009216589861755</v>
      </c>
    </row>
    <row r="30" spans="1:9">
      <c r="B30" s="82"/>
    </row>
    <row r="31" spans="1:9">
      <c r="A31" s="56" t="str">
        <f>CONCATENATE("Table 74. College Enrollment Rates in the First Two Years after High School Graduation for Classes ",A33," and ",A34,", Student-Weighted Totals")</f>
        <v>Table 74. College Enrollment Rates in the First Two Years after High School Graduation for Classes 2022 and 2023, Student-Weighted Totals</v>
      </c>
      <c r="B31" s="82"/>
    </row>
    <row r="32" spans="1:9" ht="28.9">
      <c r="A32" s="51"/>
      <c r="B32" s="83" t="s">
        <v>360</v>
      </c>
      <c r="C32" s="53" t="s">
        <v>361</v>
      </c>
      <c r="D32" s="53" t="s">
        <v>28</v>
      </c>
      <c r="E32" s="53" t="s">
        <v>29</v>
      </c>
      <c r="F32" s="53" t="s">
        <v>362</v>
      </c>
      <c r="G32" s="53" t="s">
        <v>363</v>
      </c>
      <c r="H32" s="53" t="s">
        <v>364</v>
      </c>
      <c r="I32" s="53" t="s">
        <v>365</v>
      </c>
    </row>
    <row r="33" spans="1:9">
      <c r="A33" s="54">
        <v>2022</v>
      </c>
      <c r="B33" s="62">
        <v>23325</v>
      </c>
      <c r="C33" s="11">
        <v>0.88038585209003217</v>
      </c>
      <c r="D33" s="11">
        <v>0.52385852090032159</v>
      </c>
      <c r="E33" s="11">
        <v>0.35652733118971058</v>
      </c>
      <c r="F33" s="11">
        <v>8.7245444801714894E-2</v>
      </c>
      <c r="G33" s="11">
        <v>0.79314040728831725</v>
      </c>
      <c r="H33" s="11">
        <v>0.51879957127545551</v>
      </c>
      <c r="I33" s="11">
        <v>0.36158628081457661</v>
      </c>
    </row>
    <row r="34" spans="1:9">
      <c r="A34" s="54">
        <v>2023</v>
      </c>
      <c r="B34" s="62">
        <v>24134</v>
      </c>
      <c r="C34" s="11">
        <v>0.88485124720311592</v>
      </c>
      <c r="D34" s="11">
        <v>0.5253998508328499</v>
      </c>
      <c r="E34" s="11">
        <v>0.35945139637026602</v>
      </c>
      <c r="F34" s="11">
        <v>9.4348222424794889E-2</v>
      </c>
      <c r="G34" s="11">
        <v>0.79050302477832102</v>
      </c>
      <c r="H34" s="11">
        <v>0.53418413855970825</v>
      </c>
      <c r="I34" s="11">
        <v>0.35066710864340767</v>
      </c>
    </row>
    <row r="35" spans="1:9">
      <c r="B35" s="82"/>
    </row>
    <row r="36" spans="1:9">
      <c r="B36" s="82"/>
    </row>
    <row r="37" spans="1:9">
      <c r="A37" s="56" t="str">
        <f>CONCATENATE("Table 75. Persistence Rates from First to Second Year of College for Class of ",A39," and ",A40,", School Percentile Distribution")</f>
        <v>Table 75. Persistence Rates from First to Second Year of College for Class of 2022 and 2023, School Percentile Distribution</v>
      </c>
      <c r="B37" s="82"/>
    </row>
    <row r="38" spans="1:9" ht="28.9">
      <c r="A38" s="51"/>
      <c r="B38" s="83" t="s">
        <v>356</v>
      </c>
      <c r="C38" s="53" t="s">
        <v>357</v>
      </c>
      <c r="D38" s="53" t="s">
        <v>358</v>
      </c>
      <c r="E38" s="53" t="s">
        <v>359</v>
      </c>
    </row>
    <row r="39" spans="1:9">
      <c r="A39" s="54">
        <v>2022</v>
      </c>
      <c r="B39" s="62">
        <v>238</v>
      </c>
      <c r="C39" s="11">
        <v>0.84707692307692306</v>
      </c>
      <c r="D39" s="11">
        <v>0.92580581761006298</v>
      </c>
      <c r="E39" s="11">
        <v>0.97549626627640817</v>
      </c>
    </row>
    <row r="40" spans="1:9">
      <c r="A40" s="54">
        <v>2023</v>
      </c>
      <c r="B40" s="62">
        <v>249</v>
      </c>
      <c r="C40" s="11">
        <v>0.8571428571428571</v>
      </c>
      <c r="D40" s="11">
        <v>0.93103448275862066</v>
      </c>
      <c r="E40" s="11">
        <v>0.97159090909090906</v>
      </c>
    </row>
    <row r="41" spans="1:9">
      <c r="B41" s="82"/>
    </row>
    <row r="42" spans="1:9">
      <c r="A42" s="56" t="str">
        <f>CONCATENATE("Table 76. Persistence Rates from First to Second Year of College for Class of ",A44," and ",A45,", Student-Weighted Totals")</f>
        <v>Table 76. Persistence Rates from First to Second Year of College for Class of 2022 and 2023, Student-Weighted Totals</v>
      </c>
      <c r="B42" s="82"/>
    </row>
    <row r="43" spans="1:9" ht="43.15">
      <c r="A43" s="51"/>
      <c r="B43" s="83" t="s">
        <v>366</v>
      </c>
      <c r="C43" s="53" t="s">
        <v>361</v>
      </c>
      <c r="D43" s="53" t="s">
        <v>28</v>
      </c>
      <c r="E43" s="53" t="s">
        <v>29</v>
      </c>
      <c r="F43" s="53" t="s">
        <v>362</v>
      </c>
      <c r="G43" s="53" t="s">
        <v>363</v>
      </c>
      <c r="H43" s="53" t="s">
        <v>364</v>
      </c>
      <c r="I43" s="53" t="s">
        <v>365</v>
      </c>
    </row>
    <row r="44" spans="1:9">
      <c r="A44" s="54">
        <v>2022</v>
      </c>
      <c r="B44" s="62">
        <v>19988</v>
      </c>
      <c r="C44" s="11">
        <v>0.92335401240744441</v>
      </c>
      <c r="D44" s="11">
        <v>0.90415011410700696</v>
      </c>
      <c r="E44" s="11">
        <v>0.95120755179600347</v>
      </c>
      <c r="F44" s="11">
        <v>0.74108612177729016</v>
      </c>
      <c r="G44" s="11">
        <v>0.94164602257087804</v>
      </c>
      <c r="H44" s="11">
        <v>0.90005103776794826</v>
      </c>
      <c r="I44" s="11">
        <v>0.95663265306122447</v>
      </c>
    </row>
    <row r="45" spans="1:9">
      <c r="A45" s="54">
        <v>2023</v>
      </c>
      <c r="B45" s="62">
        <v>20807</v>
      </c>
      <c r="C45" s="11">
        <v>0.92992742826933239</v>
      </c>
      <c r="D45" s="11">
        <v>0.91437383329275224</v>
      </c>
      <c r="E45" s="11">
        <v>0.95251001649776101</v>
      </c>
      <c r="F45" s="11">
        <v>0.76009615384615381</v>
      </c>
      <c r="G45" s="11">
        <v>0.94879051636674316</v>
      </c>
      <c r="H45" s="11">
        <v>0.90793777423214994</v>
      </c>
      <c r="I45" s="11">
        <v>0.96324951644100576</v>
      </c>
    </row>
    <row r="46" spans="1:9">
      <c r="B46" s="82"/>
    </row>
    <row r="47" spans="1:9">
      <c r="B47" s="82"/>
    </row>
    <row r="48" spans="1:9">
      <c r="A48" s="56" t="str">
        <f>CONCATENATE("Table 77. Six-Year Completion Rates for Class of ",,A50," and ",A51,", School Percentile Distribution")</f>
        <v>Table 77. Six-Year Completion Rates for Class of 2018 and 2019, School Percentile Distribution</v>
      </c>
      <c r="B48" s="82"/>
    </row>
    <row r="49" spans="1:9" ht="28.9">
      <c r="A49" s="51"/>
      <c r="B49" s="83" t="s">
        <v>356</v>
      </c>
      <c r="C49" s="53" t="s">
        <v>357</v>
      </c>
      <c r="D49" s="53" t="s">
        <v>358</v>
      </c>
      <c r="E49" s="53" t="s">
        <v>359</v>
      </c>
    </row>
    <row r="50" spans="1:9">
      <c r="A50" s="54">
        <v>2018</v>
      </c>
      <c r="B50" s="62">
        <v>318</v>
      </c>
      <c r="C50" s="11">
        <v>0.46808510638297873</v>
      </c>
      <c r="D50" s="11">
        <v>0.66666666666666663</v>
      </c>
      <c r="E50" s="11">
        <v>0.78733031674208143</v>
      </c>
    </row>
    <row r="51" spans="1:9">
      <c r="A51" s="54">
        <v>2019</v>
      </c>
      <c r="B51" s="62">
        <v>315</v>
      </c>
      <c r="C51" s="11">
        <v>0.47524752475247523</v>
      </c>
      <c r="D51" s="11">
        <v>0.67320261437908502</v>
      </c>
      <c r="E51" s="11">
        <v>0.78947368421052633</v>
      </c>
    </row>
    <row r="52" spans="1:9">
      <c r="A52" s="58"/>
      <c r="B52" s="84"/>
      <c r="C52" s="61"/>
      <c r="D52" s="61"/>
      <c r="E52" s="61"/>
    </row>
    <row r="53" spans="1:9">
      <c r="A53" s="56" t="str">
        <f>CONCATENATE("Table 78. Six-Year Completion Rates for Class of ",A55," and ",A56, ", Student-Weighted Totals")</f>
        <v>Table 78. Six-Year Completion Rates for Class of 2018 and 2019, Student-Weighted Totals</v>
      </c>
      <c r="B53" s="82"/>
    </row>
    <row r="54" spans="1:9" ht="28.9">
      <c r="A54" s="51"/>
      <c r="B54" s="83" t="s">
        <v>360</v>
      </c>
      <c r="C54" s="53" t="s">
        <v>361</v>
      </c>
      <c r="D54" s="53" t="s">
        <v>28</v>
      </c>
      <c r="E54" s="53" t="s">
        <v>29</v>
      </c>
      <c r="F54" s="53" t="s">
        <v>362</v>
      </c>
      <c r="G54" s="53" t="s">
        <v>363</v>
      </c>
      <c r="H54" s="53" t="s">
        <v>364</v>
      </c>
      <c r="I54" s="53" t="s">
        <v>365</v>
      </c>
    </row>
    <row r="55" spans="1:9">
      <c r="A55" s="54">
        <v>2018</v>
      </c>
      <c r="B55" s="62">
        <v>34108</v>
      </c>
      <c r="C55" s="11">
        <v>0.69423595637387125</v>
      </c>
      <c r="D55" s="11">
        <v>0.38093702357218245</v>
      </c>
      <c r="E55" s="11">
        <v>0.31329893280168875</v>
      </c>
      <c r="F55" s="11">
        <v>4.8170517180720067E-2</v>
      </c>
      <c r="G55" s="11">
        <v>0.64594816465345373</v>
      </c>
      <c r="H55" s="11">
        <v>0.40107892576521637</v>
      </c>
      <c r="I55" s="11">
        <v>0.29315703060865483</v>
      </c>
    </row>
    <row r="56" spans="1:9">
      <c r="A56" s="54">
        <v>2019</v>
      </c>
      <c r="B56" s="62">
        <v>33564</v>
      </c>
      <c r="C56" s="11">
        <v>0.68770110833035392</v>
      </c>
      <c r="D56" s="11">
        <v>0.38145036348468597</v>
      </c>
      <c r="E56" s="11">
        <v>0.306250744845668</v>
      </c>
      <c r="F56" s="11">
        <v>4.5495173400071504E-2</v>
      </c>
      <c r="G56" s="11">
        <v>0.64205696579668692</v>
      </c>
      <c r="H56" s="11">
        <v>0.40075676319866521</v>
      </c>
      <c r="I56" s="11">
        <v>0.28694434513168871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AD2DB-5D4D-4DBA-88F5-0D2280E4197D}">
  <dimension ref="A1:V88"/>
  <sheetViews>
    <sheetView topLeftCell="B68" zoomScaleNormal="100" workbookViewId="0">
      <selection activeCell="N93" sqref="N93"/>
    </sheetView>
  </sheetViews>
  <sheetFormatPr defaultRowHeight="14.45"/>
  <cols>
    <col min="1" max="1" width="15.7109375" customWidth="1"/>
    <col min="2" max="2" width="13" customWidth="1"/>
    <col min="3" max="3" width="14.42578125" customWidth="1"/>
    <col min="4" max="4" width="13.7109375" customWidth="1"/>
    <col min="5" max="9" width="12.85546875" customWidth="1"/>
    <col min="12" max="12" width="19" customWidth="1"/>
    <col min="13" max="13" width="16.28515625" customWidth="1"/>
    <col min="14" max="14" width="13" customWidth="1"/>
    <col min="15" max="15" width="14.42578125" customWidth="1"/>
    <col min="16" max="17" width="13.7109375" customWidth="1"/>
    <col min="18" max="20" width="12.85546875" customWidth="1"/>
  </cols>
  <sheetData>
    <row r="1" spans="1:17" ht="36" customHeight="1">
      <c r="A1" s="73" t="s">
        <v>380</v>
      </c>
    </row>
    <row r="3" spans="1:17" ht="18">
      <c r="A3" s="113" t="s">
        <v>381</v>
      </c>
      <c r="B3" s="108"/>
      <c r="C3" s="108"/>
      <c r="D3" s="108"/>
      <c r="E3" s="108"/>
      <c r="M3" s="113" t="s">
        <v>382</v>
      </c>
      <c r="N3" s="108"/>
      <c r="O3" s="108"/>
      <c r="P3" s="108"/>
      <c r="Q3" s="108"/>
    </row>
    <row r="4" spans="1:17">
      <c r="A4" s="26"/>
      <c r="B4" s="26"/>
      <c r="C4" s="26"/>
      <c r="D4" s="26"/>
      <c r="E4" s="26"/>
      <c r="M4" s="26"/>
      <c r="N4" s="26"/>
      <c r="O4" s="26"/>
      <c r="P4" s="26"/>
      <c r="Q4" s="26"/>
    </row>
    <row r="5" spans="1:17">
      <c r="A5" s="2" t="str">
        <f>CONCATENATE("Table 79a. Low-Income High School and Student Counts ",A7," to ",A11)</f>
        <v>Table 79a. Low-Income High School and Student Counts Class of 2019 to Class of 2025</v>
      </c>
      <c r="B5" s="26"/>
      <c r="C5" s="26"/>
      <c r="D5" s="26"/>
      <c r="E5" s="26"/>
      <c r="M5" s="2" t="str">
        <f>CONCATENATE("Table 79b. Higher-Income High School and Student Counts ",M7," to ",M11)</f>
        <v>Table 79b. Higher-Income High School and Student Counts Class of 2019 to Class of 2025</v>
      </c>
      <c r="N5" s="26"/>
      <c r="O5" s="26"/>
      <c r="P5" s="26"/>
      <c r="Q5" s="26"/>
    </row>
    <row r="6" spans="1:17" ht="34.9" customHeight="1">
      <c r="A6" s="57" t="s">
        <v>383</v>
      </c>
      <c r="B6" s="57" t="s">
        <v>384</v>
      </c>
      <c r="C6" s="57" t="s">
        <v>385</v>
      </c>
      <c r="D6" s="57" t="s">
        <v>386</v>
      </c>
      <c r="E6" s="57" t="s">
        <v>387</v>
      </c>
      <c r="M6" s="57" t="s">
        <v>383</v>
      </c>
      <c r="N6" s="57" t="s">
        <v>384</v>
      </c>
      <c r="O6" s="57" t="s">
        <v>385</v>
      </c>
      <c r="P6" s="57" t="s">
        <v>386</v>
      </c>
      <c r="Q6" s="57" t="s">
        <v>387</v>
      </c>
    </row>
    <row r="7" spans="1:17">
      <c r="A7" s="69" t="s">
        <v>388</v>
      </c>
      <c r="B7" s="13">
        <v>4716</v>
      </c>
      <c r="C7" s="13">
        <v>7056</v>
      </c>
      <c r="D7" s="13">
        <v>893657</v>
      </c>
      <c r="E7" s="13">
        <v>1209282</v>
      </c>
      <c r="M7" s="69" t="s">
        <v>388</v>
      </c>
      <c r="N7" s="13">
        <v>7497</v>
      </c>
      <c r="O7" s="13">
        <v>10077</v>
      </c>
      <c r="P7" s="13">
        <v>1545736</v>
      </c>
      <c r="Q7" s="13">
        <v>2017906</v>
      </c>
    </row>
    <row r="8" spans="1:17">
      <c r="A8" s="69" t="s">
        <v>389</v>
      </c>
      <c r="B8" s="13">
        <v>4008</v>
      </c>
      <c r="C8" s="13">
        <v>5919</v>
      </c>
      <c r="D8" s="13">
        <v>770429</v>
      </c>
      <c r="E8" s="13">
        <v>1034721</v>
      </c>
      <c r="M8" s="69" t="s">
        <v>389</v>
      </c>
      <c r="N8" s="13">
        <v>8744</v>
      </c>
      <c r="O8" s="13">
        <v>11463</v>
      </c>
      <c r="P8" s="13">
        <v>1714836</v>
      </c>
      <c r="Q8" s="13">
        <v>2174830</v>
      </c>
    </row>
    <row r="9" spans="1:17">
      <c r="A9" s="69" t="s">
        <v>390</v>
      </c>
      <c r="B9" s="13">
        <v>5451</v>
      </c>
      <c r="C9" s="13">
        <v>7713</v>
      </c>
      <c r="D9" s="13">
        <v>992812</v>
      </c>
      <c r="E9" s="13">
        <v>1316376</v>
      </c>
      <c r="M9" s="69" t="s">
        <v>390</v>
      </c>
      <c r="N9" s="13">
        <v>7380</v>
      </c>
      <c r="O9" s="13">
        <v>9731</v>
      </c>
      <c r="P9" s="13">
        <v>1476389</v>
      </c>
      <c r="Q9" s="13">
        <v>1883954</v>
      </c>
    </row>
    <row r="10" spans="1:17">
      <c r="A10" s="69" t="s">
        <v>391</v>
      </c>
      <c r="B10" s="13">
        <v>5701</v>
      </c>
      <c r="C10" s="13">
        <v>8212</v>
      </c>
      <c r="D10" s="13">
        <v>1026662</v>
      </c>
      <c r="E10" s="13">
        <v>1385947</v>
      </c>
      <c r="M10" s="69" t="s">
        <v>391</v>
      </c>
      <c r="N10" s="13">
        <v>7115</v>
      </c>
      <c r="O10" s="13">
        <v>9248</v>
      </c>
      <c r="P10" s="13">
        <v>1436695</v>
      </c>
      <c r="Q10" s="13">
        <v>1841232</v>
      </c>
    </row>
    <row r="11" spans="1:17">
      <c r="A11" s="69" t="s">
        <v>392</v>
      </c>
      <c r="B11" s="13">
        <v>5179</v>
      </c>
      <c r="C11" s="13">
        <v>7827</v>
      </c>
      <c r="D11" s="13">
        <v>1001434</v>
      </c>
      <c r="E11" s="13">
        <v>1383553</v>
      </c>
      <c r="M11" s="69" t="s">
        <v>392</v>
      </c>
      <c r="N11" s="13">
        <v>6844</v>
      </c>
      <c r="O11" s="13">
        <v>9638</v>
      </c>
      <c r="P11" s="13">
        <v>1392647</v>
      </c>
      <c r="Q11" s="13">
        <v>1924337</v>
      </c>
    </row>
    <row r="29" spans="1:22" ht="32.450000000000003" customHeight="1">
      <c r="A29" s="112" t="s">
        <v>393</v>
      </c>
      <c r="B29" s="111"/>
      <c r="C29" s="111"/>
      <c r="D29" s="111"/>
      <c r="E29" s="111"/>
      <c r="F29" s="111"/>
      <c r="G29" s="111"/>
      <c r="H29" s="111"/>
      <c r="I29" s="111"/>
      <c r="L29" s="112" t="s">
        <v>394</v>
      </c>
      <c r="M29" s="111"/>
      <c r="N29" s="111"/>
      <c r="O29" s="111"/>
      <c r="P29" s="111"/>
      <c r="Q29" s="111"/>
      <c r="R29" s="111"/>
      <c r="S29" s="111"/>
      <c r="T29" s="111"/>
    </row>
    <row r="30" spans="1:22" ht="28.9">
      <c r="A30" s="51"/>
      <c r="B30" s="52" t="s">
        <v>360</v>
      </c>
      <c r="C30" s="53" t="s">
        <v>361</v>
      </c>
      <c r="D30" s="53" t="s">
        <v>28</v>
      </c>
      <c r="E30" s="53" t="s">
        <v>29</v>
      </c>
      <c r="F30" s="53" t="s">
        <v>362</v>
      </c>
      <c r="G30" s="53" t="s">
        <v>363</v>
      </c>
      <c r="H30" s="53" t="s">
        <v>364</v>
      </c>
      <c r="I30" s="53" t="s">
        <v>365</v>
      </c>
      <c r="L30" s="51"/>
      <c r="M30" s="52" t="s">
        <v>360</v>
      </c>
      <c r="N30" s="53" t="s">
        <v>361</v>
      </c>
      <c r="O30" s="53" t="s">
        <v>28</v>
      </c>
      <c r="P30" s="53" t="s">
        <v>29</v>
      </c>
      <c r="Q30" s="53" t="s">
        <v>362</v>
      </c>
      <c r="R30" s="53" t="s">
        <v>363</v>
      </c>
      <c r="S30" s="53" t="s">
        <v>364</v>
      </c>
      <c r="T30" s="53" t="s">
        <v>365</v>
      </c>
    </row>
    <row r="31" spans="1:22">
      <c r="A31" s="54">
        <v>2025</v>
      </c>
      <c r="B31" s="13">
        <v>507633</v>
      </c>
      <c r="C31" s="11">
        <v>0.52580862680268858</v>
      </c>
      <c r="D31" s="11">
        <v>0.45666866576965981</v>
      </c>
      <c r="E31" s="11">
        <v>6.9139961033028705E-2</v>
      </c>
      <c r="F31" s="11">
        <v>0.2144322806450577</v>
      </c>
      <c r="G31" s="11">
        <v>0.31137634615763082</v>
      </c>
      <c r="H31" s="11">
        <v>0.4651353330578093</v>
      </c>
      <c r="I31" s="11">
        <v>6.0673293744879238E-2</v>
      </c>
      <c r="L31" s="54">
        <v>2025</v>
      </c>
      <c r="M31" s="13">
        <v>847998</v>
      </c>
      <c r="N31" s="11">
        <v>0.63224407661205839</v>
      </c>
      <c r="O31" s="11">
        <v>0.50709225939067337</v>
      </c>
      <c r="P31" s="11">
        <v>0.1251518172213851</v>
      </c>
      <c r="Q31" s="11">
        <v>0.16369866639428415</v>
      </c>
      <c r="R31" s="11">
        <v>0.46854541021777429</v>
      </c>
      <c r="S31" s="11">
        <v>0.47472322481027041</v>
      </c>
      <c r="T31" s="11">
        <v>0.15752085180178804</v>
      </c>
      <c r="V31" s="24"/>
    </row>
    <row r="32" spans="1:22">
      <c r="A32" s="72" t="s">
        <v>395</v>
      </c>
      <c r="B32" s="13">
        <v>505941</v>
      </c>
      <c r="C32" s="11">
        <v>0.52022106832553594</v>
      </c>
      <c r="D32" s="11">
        <v>0.45193768957894198</v>
      </c>
      <c r="E32" s="11">
        <v>6.8283378746594001E-2</v>
      </c>
      <c r="F32" s="11">
        <v>0.20950388154850649</v>
      </c>
      <c r="G32" s="11">
        <v>0.31071718677702947</v>
      </c>
      <c r="H32" s="11">
        <v>0.46161431288879751</v>
      </c>
      <c r="I32" s="11">
        <v>5.8606755436738468E-2</v>
      </c>
      <c r="L32" s="72" t="s">
        <v>395</v>
      </c>
      <c r="M32" s="13">
        <v>849690</v>
      </c>
      <c r="N32" s="11">
        <v>0.63688505052715849</v>
      </c>
      <c r="O32" s="11">
        <v>0.51081000858984182</v>
      </c>
      <c r="P32" s="11">
        <v>0.12607504193731664</v>
      </c>
      <c r="Q32" s="11">
        <v>0.16702070406720765</v>
      </c>
      <c r="R32" s="11">
        <v>0.46986434645995079</v>
      </c>
      <c r="S32" s="11">
        <v>0.47734110666544738</v>
      </c>
      <c r="T32" s="11">
        <v>0.15954394386171103</v>
      </c>
      <c r="V32" s="24"/>
    </row>
    <row r="35" spans="1:22" ht="32.450000000000003" customHeight="1">
      <c r="A35" s="111" t="s">
        <v>396</v>
      </c>
      <c r="B35" s="111"/>
      <c r="C35" s="111"/>
      <c r="D35" s="111"/>
      <c r="E35" s="111"/>
      <c r="F35" s="111"/>
      <c r="G35" s="111"/>
      <c r="H35" s="111"/>
      <c r="I35" s="111"/>
      <c r="L35" s="112" t="s">
        <v>397</v>
      </c>
      <c r="M35" s="111"/>
      <c r="N35" s="111"/>
      <c r="O35" s="111"/>
      <c r="P35" s="111"/>
      <c r="Q35" s="111"/>
      <c r="R35" s="111"/>
      <c r="S35" s="111"/>
      <c r="T35" s="111"/>
    </row>
    <row r="36" spans="1:22" ht="28.9">
      <c r="A36" s="51"/>
      <c r="B36" s="52" t="s">
        <v>360</v>
      </c>
      <c r="C36" s="53" t="s">
        <v>361</v>
      </c>
      <c r="D36" s="53" t="s">
        <v>28</v>
      </c>
      <c r="E36" s="53" t="s">
        <v>29</v>
      </c>
      <c r="F36" s="53" t="s">
        <v>362</v>
      </c>
      <c r="G36" s="53" t="s">
        <v>363</v>
      </c>
      <c r="H36" s="53" t="s">
        <v>364</v>
      </c>
      <c r="I36" s="53" t="s">
        <v>365</v>
      </c>
      <c r="L36" s="51"/>
      <c r="M36" s="52" t="s">
        <v>360</v>
      </c>
      <c r="N36" s="53" t="s">
        <v>361</v>
      </c>
      <c r="O36" s="53" t="s">
        <v>28</v>
      </c>
      <c r="P36" s="53" t="s">
        <v>29</v>
      </c>
      <c r="Q36" s="53" t="s">
        <v>362</v>
      </c>
      <c r="R36" s="53" t="s">
        <v>363</v>
      </c>
      <c r="S36" s="53" t="s">
        <v>364</v>
      </c>
      <c r="T36" s="53" t="s">
        <v>365</v>
      </c>
    </row>
    <row r="37" spans="1:22">
      <c r="A37" s="54">
        <v>2024</v>
      </c>
      <c r="B37" s="13">
        <v>558708</v>
      </c>
      <c r="C37" s="11">
        <v>0.56378772742409111</v>
      </c>
      <c r="D37" s="11">
        <v>0.48913611640884369</v>
      </c>
      <c r="E37" s="11">
        <v>7.4651611015247379E-2</v>
      </c>
      <c r="F37" s="11">
        <v>0.23525767162130798</v>
      </c>
      <c r="G37" s="11">
        <v>0.32853005580278305</v>
      </c>
      <c r="H37" s="11">
        <v>0.49823308005126188</v>
      </c>
      <c r="I37" s="11">
        <v>6.5554647372829192E-2</v>
      </c>
      <c r="L37" s="54">
        <v>2024</v>
      </c>
      <c r="M37" s="13">
        <v>917633</v>
      </c>
      <c r="N37" s="11">
        <v>0.66985204802672305</v>
      </c>
      <c r="O37" s="11">
        <v>0.5377449806701784</v>
      </c>
      <c r="P37" s="11">
        <v>0.13210706735654471</v>
      </c>
      <c r="Q37" s="11">
        <v>0.17880888003830925</v>
      </c>
      <c r="R37" s="11">
        <v>0.4910431679884138</v>
      </c>
      <c r="S37" s="11">
        <v>0.50382435557528116</v>
      </c>
      <c r="T37" s="11">
        <v>0.16602769245144186</v>
      </c>
      <c r="V37" s="24"/>
    </row>
    <row r="38" spans="1:22">
      <c r="A38" s="72" t="s">
        <v>398</v>
      </c>
      <c r="B38" s="13">
        <v>534442</v>
      </c>
      <c r="C38" s="11">
        <v>0.56158745270121879</v>
      </c>
      <c r="D38" s="11">
        <v>0.4874204419001264</v>
      </c>
      <c r="E38" s="11">
        <v>7.4167010801092406E-2</v>
      </c>
      <c r="F38" s="11">
        <v>0.2383459270771271</v>
      </c>
      <c r="G38" s="11">
        <v>0.3232415256240917</v>
      </c>
      <c r="H38" s="11">
        <v>0.49831400401192438</v>
      </c>
      <c r="I38" s="11">
        <v>6.3273448689294423E-2</v>
      </c>
      <c r="L38" s="72" t="s">
        <v>398</v>
      </c>
      <c r="M38" s="13">
        <v>941899</v>
      </c>
      <c r="N38" s="11">
        <v>0.66837800190316565</v>
      </c>
      <c r="O38" s="11">
        <v>0.5375470735457849</v>
      </c>
      <c r="P38" s="11">
        <v>0.13083092835738072</v>
      </c>
      <c r="Q38" s="11">
        <v>0.17829866075895293</v>
      </c>
      <c r="R38" s="11">
        <v>0.4900793411442127</v>
      </c>
      <c r="S38" s="11">
        <v>0.50361367298902737</v>
      </c>
      <c r="T38" s="11">
        <v>0.16476432891413828</v>
      </c>
      <c r="V38" s="24"/>
    </row>
    <row r="41" spans="1:22" ht="29.45" customHeight="1">
      <c r="A41" s="112" t="s">
        <v>399</v>
      </c>
      <c r="B41" s="111"/>
      <c r="C41" s="111"/>
      <c r="D41" s="111"/>
      <c r="E41" s="111"/>
      <c r="F41" s="111"/>
      <c r="G41" s="111"/>
      <c r="H41" s="111"/>
      <c r="I41" s="111"/>
      <c r="L41" s="112" t="s">
        <v>400</v>
      </c>
      <c r="M41" s="111"/>
      <c r="N41" s="111"/>
      <c r="O41" s="111"/>
      <c r="P41" s="111"/>
      <c r="Q41" s="111"/>
      <c r="R41" s="111"/>
      <c r="S41" s="111"/>
      <c r="T41" s="111"/>
    </row>
    <row r="42" spans="1:22">
      <c r="A42" s="68"/>
      <c r="B42" s="114">
        <v>2025</v>
      </c>
      <c r="C42" s="115"/>
      <c r="D42" s="64"/>
      <c r="E42" s="116" t="s">
        <v>401</v>
      </c>
      <c r="F42" s="115"/>
      <c r="L42" s="81"/>
      <c r="M42" s="114">
        <v>2025</v>
      </c>
      <c r="N42" s="115"/>
      <c r="P42" s="116" t="s">
        <v>401</v>
      </c>
      <c r="Q42" s="115"/>
    </row>
    <row r="43" spans="1:22" ht="43.15">
      <c r="A43" s="17"/>
      <c r="B43" s="74" t="s">
        <v>56</v>
      </c>
      <c r="C43" s="75" t="s">
        <v>57</v>
      </c>
      <c r="D43" s="20"/>
      <c r="E43" s="74" t="s">
        <v>56</v>
      </c>
      <c r="F43" s="74" t="s">
        <v>57</v>
      </c>
      <c r="L43" s="17"/>
      <c r="M43" s="74" t="s">
        <v>58</v>
      </c>
      <c r="N43" s="74" t="s">
        <v>59</v>
      </c>
      <c r="O43" s="20"/>
      <c r="P43" s="76" t="s">
        <v>58</v>
      </c>
      <c r="Q43" s="74" t="s">
        <v>59</v>
      </c>
    </row>
    <row r="44" spans="1:22">
      <c r="A44" s="107" t="s">
        <v>25</v>
      </c>
      <c r="B44" s="11">
        <v>0.52760125430933724</v>
      </c>
      <c r="C44" s="11">
        <v>0.51977442010862929</v>
      </c>
      <c r="D44" s="66"/>
      <c r="E44" s="11">
        <v>0.52458925444709359</v>
      </c>
      <c r="F44" s="11">
        <v>0.5063975197834949</v>
      </c>
      <c r="L44" s="107" t="s">
        <v>25</v>
      </c>
      <c r="M44" s="11">
        <v>0.58250304788329765</v>
      </c>
      <c r="N44" s="11">
        <v>0.64714831107924264</v>
      </c>
      <c r="O44" s="66"/>
      <c r="P44" s="11">
        <v>0.58865647345345173</v>
      </c>
      <c r="Q44" s="11">
        <v>0.6517622897359876</v>
      </c>
    </row>
    <row r="45" spans="1:22">
      <c r="A45" s="117"/>
      <c r="B45" s="13">
        <v>392701</v>
      </c>
      <c r="C45" s="13">
        <v>114932</v>
      </c>
      <c r="D45" s="67"/>
      <c r="E45" s="13">
        <v>387683</v>
      </c>
      <c r="F45" s="13">
        <v>118258</v>
      </c>
      <c r="L45" s="117"/>
      <c r="M45" s="13">
        <v>180128</v>
      </c>
      <c r="N45" s="13">
        <v>667870</v>
      </c>
      <c r="O45" s="67"/>
      <c r="P45" s="13">
        <v>185146</v>
      </c>
      <c r="Q45" s="13">
        <v>664544</v>
      </c>
    </row>
    <row r="46" spans="1:22">
      <c r="A46" s="107" t="s">
        <v>28</v>
      </c>
      <c r="B46" s="11">
        <v>0.46215575684455756</v>
      </c>
      <c r="C46" s="11">
        <v>0.43819843613619813</v>
      </c>
      <c r="D46" s="66"/>
      <c r="E46" s="11">
        <v>0.45951270733482902</v>
      </c>
      <c r="F46" s="11">
        <v>0.42796581138021994</v>
      </c>
      <c r="L46" s="107" t="s">
        <v>28</v>
      </c>
      <c r="M46" s="11">
        <v>0.48719242249321704</v>
      </c>
      <c r="N46" s="11">
        <v>0.51305497955465984</v>
      </c>
      <c r="O46" s="66"/>
      <c r="P46" s="11">
        <v>0.4929814353799245</v>
      </c>
      <c r="Q46" s="11">
        <v>0.51630965142588692</v>
      </c>
    </row>
    <row r="47" spans="1:22">
      <c r="A47" s="117"/>
      <c r="B47" s="13">
        <v>343989</v>
      </c>
      <c r="C47" s="13">
        <v>96894</v>
      </c>
      <c r="D47" s="67"/>
      <c r="E47" s="13">
        <v>339590</v>
      </c>
      <c r="F47" s="13">
        <v>99942</v>
      </c>
      <c r="L47" s="117"/>
      <c r="M47" s="13">
        <v>150655</v>
      </c>
      <c r="N47" s="13">
        <v>529483</v>
      </c>
      <c r="O47" s="67"/>
      <c r="P47" s="13">
        <v>155054</v>
      </c>
      <c r="Q47" s="13">
        <v>526435</v>
      </c>
    </row>
    <row r="48" spans="1:22">
      <c r="A48" s="98" t="s">
        <v>29</v>
      </c>
      <c r="B48" s="11">
        <v>6.5445497464779651E-2</v>
      </c>
      <c r="C48" s="11">
        <v>8.157598397243114E-2</v>
      </c>
      <c r="D48" s="66"/>
      <c r="E48" s="11">
        <v>6.5076547112264585E-2</v>
      </c>
      <c r="F48" s="11">
        <v>7.8431708403274986E-2</v>
      </c>
      <c r="L48" s="98" t="s">
        <v>29</v>
      </c>
      <c r="M48" s="11">
        <v>9.5310625390080561E-2</v>
      </c>
      <c r="N48" s="11">
        <v>0.13409333152458286</v>
      </c>
      <c r="O48" s="66"/>
      <c r="P48" s="11">
        <v>9.5675038073527216E-2</v>
      </c>
      <c r="Q48" s="11">
        <v>0.13545263831010063</v>
      </c>
    </row>
    <row r="49" spans="1:20">
      <c r="A49" s="118"/>
      <c r="B49" s="13">
        <v>48712</v>
      </c>
      <c r="C49" s="13">
        <v>18038</v>
      </c>
      <c r="D49" s="67"/>
      <c r="E49" s="13">
        <v>48093</v>
      </c>
      <c r="F49" s="13">
        <v>18316</v>
      </c>
      <c r="L49" s="118"/>
      <c r="M49" s="13">
        <v>29473</v>
      </c>
      <c r="N49" s="13">
        <v>138387</v>
      </c>
      <c r="O49" s="67"/>
      <c r="P49" s="13">
        <v>30092</v>
      </c>
      <c r="Q49" s="13">
        <v>138109</v>
      </c>
    </row>
    <row r="50" spans="1:20">
      <c r="A50" s="98" t="s">
        <v>27</v>
      </c>
      <c r="B50" s="11">
        <v>0.21880013005263907</v>
      </c>
      <c r="C50" s="11">
        <v>0.199729557387651</v>
      </c>
      <c r="D50" s="66"/>
      <c r="E50" s="11">
        <v>0.21432650178208498</v>
      </c>
      <c r="F50" s="11">
        <v>0.19424223219485459</v>
      </c>
      <c r="L50" s="98" t="s">
        <v>27</v>
      </c>
      <c r="M50" s="11">
        <v>0.18059961646794792</v>
      </c>
      <c r="N50" s="11">
        <v>0.15863452258677158</v>
      </c>
      <c r="O50" s="66"/>
      <c r="P50" s="11">
        <v>0.19175386219767712</v>
      </c>
      <c r="Q50" s="11">
        <v>0.15939117957730939</v>
      </c>
    </row>
    <row r="51" spans="1:20">
      <c r="A51" s="118"/>
      <c r="B51" s="13">
        <v>162856</v>
      </c>
      <c r="C51" s="13">
        <v>44164</v>
      </c>
      <c r="D51" s="67"/>
      <c r="E51" s="13">
        <v>158392</v>
      </c>
      <c r="F51" s="13">
        <v>45361</v>
      </c>
      <c r="L51" s="118"/>
      <c r="M51" s="13">
        <v>55847</v>
      </c>
      <c r="N51" s="13">
        <v>163714</v>
      </c>
      <c r="O51" s="67"/>
      <c r="P51" s="13">
        <v>60311</v>
      </c>
      <c r="Q51" s="13">
        <v>162517</v>
      </c>
    </row>
    <row r="52" spans="1:20">
      <c r="A52" s="98" t="s">
        <v>26</v>
      </c>
      <c r="B52" s="11">
        <v>0.30880112425669809</v>
      </c>
      <c r="C52" s="11">
        <v>0.32004486272097832</v>
      </c>
      <c r="D52" s="66"/>
      <c r="E52" s="11">
        <v>0.31026275266500863</v>
      </c>
      <c r="F52" s="11">
        <v>0.31215528758864031</v>
      </c>
      <c r="L52" s="98" t="s">
        <v>26</v>
      </c>
      <c r="M52" s="11">
        <v>0.40190343141534968</v>
      </c>
      <c r="N52" s="11">
        <v>0.48851378849247107</v>
      </c>
      <c r="O52" s="66"/>
      <c r="P52" s="11">
        <v>0.39690261125577464</v>
      </c>
      <c r="Q52" s="11">
        <v>0.49237111015867818</v>
      </c>
    </row>
    <row r="53" spans="1:20">
      <c r="A53" s="118"/>
      <c r="B53" s="13">
        <v>229845</v>
      </c>
      <c r="C53" s="13">
        <v>70768</v>
      </c>
      <c r="D53" s="67"/>
      <c r="E53" s="13">
        <v>229291</v>
      </c>
      <c r="F53" s="13">
        <v>72897</v>
      </c>
      <c r="L53" s="118"/>
      <c r="M53" s="13">
        <v>124281</v>
      </c>
      <c r="N53" s="13">
        <v>504156</v>
      </c>
      <c r="O53" s="67"/>
      <c r="P53" s="13">
        <v>124835</v>
      </c>
      <c r="Q53" s="13">
        <v>502027</v>
      </c>
    </row>
    <row r="54" spans="1:20">
      <c r="A54" s="98" t="s">
        <v>30</v>
      </c>
      <c r="B54" s="11">
        <v>0.47001399946796646</v>
      </c>
      <c r="C54" s="11">
        <v>0.44871313636548643</v>
      </c>
      <c r="D54" s="66"/>
      <c r="E54" s="11">
        <v>0.46834329695191751</v>
      </c>
      <c r="F54" s="11">
        <v>0.44031979034633961</v>
      </c>
      <c r="L54" s="98" t="s">
        <v>30</v>
      </c>
      <c r="M54" s="11">
        <v>0.48187924237867485</v>
      </c>
      <c r="N54" s="11">
        <v>0.47257901978643824</v>
      </c>
      <c r="O54" s="66"/>
      <c r="P54" s="11">
        <v>0.48560518626618721</v>
      </c>
      <c r="Q54" s="11">
        <v>0.47479185689444309</v>
      </c>
    </row>
    <row r="55" spans="1:20">
      <c r="A55" s="118"/>
      <c r="B55" s="13">
        <v>349838</v>
      </c>
      <c r="C55" s="13">
        <v>99219</v>
      </c>
      <c r="D55" s="67"/>
      <c r="E55" s="13">
        <v>346116</v>
      </c>
      <c r="F55" s="13">
        <v>102827</v>
      </c>
      <c r="L55" s="118"/>
      <c r="M55" s="13">
        <v>149012</v>
      </c>
      <c r="N55" s="13">
        <v>487711</v>
      </c>
      <c r="O55" s="67"/>
      <c r="P55" s="13">
        <v>152734</v>
      </c>
      <c r="Q55" s="13">
        <v>484103</v>
      </c>
    </row>
    <row r="56" spans="1:20">
      <c r="A56" s="98" t="s">
        <v>31</v>
      </c>
      <c r="B56" s="11">
        <v>5.7587254841370714E-2</v>
      </c>
      <c r="C56" s="11">
        <v>7.1061283743142828E-2</v>
      </c>
      <c r="D56" s="66"/>
      <c r="E56" s="11">
        <v>5.6245957495176059E-2</v>
      </c>
      <c r="F56" s="11">
        <v>6.6077729437155286E-2</v>
      </c>
      <c r="L56" s="98" t="s">
        <v>31</v>
      </c>
      <c r="M56" s="11">
        <v>0.10062380550462276</v>
      </c>
      <c r="N56" s="11">
        <v>0.17456929129280441</v>
      </c>
      <c r="O56" s="66"/>
      <c r="P56" s="11">
        <v>0.10305128718726453</v>
      </c>
      <c r="Q56" s="11">
        <v>0.17697043284154448</v>
      </c>
    </row>
    <row r="57" spans="1:20">
      <c r="A57" s="118"/>
      <c r="B57" s="13">
        <v>42863</v>
      </c>
      <c r="C57" s="13">
        <v>15713</v>
      </c>
      <c r="D57" s="85"/>
      <c r="E57" s="13">
        <v>41567</v>
      </c>
      <c r="F57" s="13">
        <v>15431</v>
      </c>
      <c r="L57" s="118"/>
      <c r="M57" s="13">
        <v>31116</v>
      </c>
      <c r="N57" s="13">
        <v>180159</v>
      </c>
      <c r="O57" s="85"/>
      <c r="P57" s="13">
        <v>32412</v>
      </c>
      <c r="Q57" s="13">
        <v>180441</v>
      </c>
    </row>
    <row r="60" spans="1:20" ht="28.15" customHeight="1">
      <c r="A60" s="112" t="s">
        <v>402</v>
      </c>
      <c r="B60" s="111"/>
      <c r="C60" s="111"/>
      <c r="D60" s="111"/>
      <c r="E60" s="111"/>
      <c r="F60" s="111"/>
      <c r="G60" s="111"/>
      <c r="H60" s="111"/>
      <c r="I60" s="111"/>
      <c r="L60" s="112" t="s">
        <v>403</v>
      </c>
      <c r="M60" s="111"/>
      <c r="N60" s="111"/>
      <c r="O60" s="111"/>
      <c r="P60" s="111"/>
      <c r="Q60" s="111"/>
      <c r="R60" s="111"/>
      <c r="S60" s="111"/>
      <c r="T60" s="111"/>
    </row>
    <row r="61" spans="1:20">
      <c r="A61" s="68"/>
      <c r="B61" s="114">
        <v>2024</v>
      </c>
      <c r="C61" s="115"/>
      <c r="D61" s="64"/>
      <c r="E61" s="116" t="s">
        <v>398</v>
      </c>
      <c r="F61" s="115"/>
      <c r="L61" s="81"/>
      <c r="M61" s="114">
        <v>2024</v>
      </c>
      <c r="N61" s="115"/>
      <c r="P61" s="116" t="s">
        <v>398</v>
      </c>
      <c r="Q61" s="115"/>
    </row>
    <row r="62" spans="1:20" ht="43.15">
      <c r="A62" s="17"/>
      <c r="B62" s="74" t="s">
        <v>56</v>
      </c>
      <c r="C62" s="75" t="s">
        <v>57</v>
      </c>
      <c r="D62" s="20"/>
      <c r="E62" s="74" t="s">
        <v>56</v>
      </c>
      <c r="F62" s="74" t="s">
        <v>57</v>
      </c>
      <c r="L62" s="17"/>
      <c r="M62" s="74" t="s">
        <v>58</v>
      </c>
      <c r="N62" s="74" t="s">
        <v>59</v>
      </c>
      <c r="O62" s="20"/>
      <c r="P62" s="76" t="s">
        <v>58</v>
      </c>
      <c r="Q62" s="74" t="s">
        <v>59</v>
      </c>
    </row>
    <row r="63" spans="1:20">
      <c r="A63" s="107" t="s">
        <v>25</v>
      </c>
      <c r="B63" s="11">
        <v>0.57123093381093204</v>
      </c>
      <c r="C63" s="11">
        <v>0.54112865048401049</v>
      </c>
      <c r="D63" s="66"/>
      <c r="E63" s="11">
        <v>0.56704370214876254</v>
      </c>
      <c r="F63" s="11">
        <v>0.54296617792987045</v>
      </c>
      <c r="L63" s="107" t="s">
        <v>25</v>
      </c>
      <c r="M63" s="11">
        <v>0.63495745269580128</v>
      </c>
      <c r="N63" s="11">
        <v>0.67933503594136868</v>
      </c>
      <c r="O63" s="66"/>
      <c r="P63" s="11">
        <v>0.64304451536596163</v>
      </c>
      <c r="Q63" s="11">
        <v>0.67530764566232493</v>
      </c>
    </row>
    <row r="64" spans="1:20">
      <c r="A64" s="117"/>
      <c r="B64" s="13">
        <v>426112</v>
      </c>
      <c r="C64" s="13">
        <v>132596</v>
      </c>
      <c r="D64" s="67"/>
      <c r="E64" s="13">
        <v>417347</v>
      </c>
      <c r="F64" s="13">
        <v>117095</v>
      </c>
      <c r="L64" s="117"/>
      <c r="M64" s="13">
        <v>185873</v>
      </c>
      <c r="N64" s="13">
        <v>731760</v>
      </c>
      <c r="O64" s="67"/>
      <c r="P64" s="13">
        <v>194638</v>
      </c>
      <c r="Q64" s="13">
        <v>747261</v>
      </c>
    </row>
    <row r="65" spans="1:20">
      <c r="A65" s="107" t="s">
        <v>28</v>
      </c>
      <c r="B65" s="11">
        <v>0.49899189494258361</v>
      </c>
      <c r="C65" s="11">
        <v>0.45913253562741801</v>
      </c>
      <c r="D65" s="66"/>
      <c r="E65" s="11">
        <v>0.495230331315684</v>
      </c>
      <c r="F65" s="11">
        <v>0.46076658412857396</v>
      </c>
      <c r="L65" s="107" t="s">
        <v>28</v>
      </c>
      <c r="M65" s="11">
        <v>0.53366719843680077</v>
      </c>
      <c r="N65" s="11">
        <v>0.53885316258978377</v>
      </c>
      <c r="O65" s="66"/>
      <c r="P65" s="11">
        <v>0.54167410021078233</v>
      </c>
      <c r="Q65" s="11">
        <v>0.53641817940281</v>
      </c>
    </row>
    <row r="66" spans="1:20">
      <c r="A66" s="117"/>
      <c r="B66" s="13">
        <v>372225</v>
      </c>
      <c r="C66" s="13">
        <v>112504</v>
      </c>
      <c r="D66" s="67"/>
      <c r="E66" s="13">
        <v>364492</v>
      </c>
      <c r="F66" s="13">
        <v>99368</v>
      </c>
      <c r="L66" s="117"/>
      <c r="M66" s="13">
        <v>156222</v>
      </c>
      <c r="N66" s="13">
        <v>580437</v>
      </c>
      <c r="O66" s="67"/>
      <c r="P66" s="13">
        <v>163955</v>
      </c>
      <c r="Q66" s="13">
        <v>593573</v>
      </c>
    </row>
    <row r="67" spans="1:20">
      <c r="A67" s="98" t="s">
        <v>29</v>
      </c>
      <c r="B67" s="11">
        <v>7.2239038868348454E-2</v>
      </c>
      <c r="C67" s="11">
        <v>8.19961148565925E-2</v>
      </c>
      <c r="D67" s="66"/>
      <c r="E67" s="11">
        <v>7.181337083307858E-2</v>
      </c>
      <c r="F67" s="11">
        <v>8.2199593801296503E-2</v>
      </c>
      <c r="L67" s="98" t="s">
        <v>29</v>
      </c>
      <c r="M67" s="11">
        <v>0.10129025425900053</v>
      </c>
      <c r="N67" s="11">
        <v>0.14048187335158485</v>
      </c>
      <c r="O67" s="66"/>
      <c r="P67" s="11">
        <v>0.10137041515517936</v>
      </c>
      <c r="Q67" s="11">
        <v>0.13888946625951495</v>
      </c>
    </row>
    <row r="68" spans="1:20">
      <c r="A68" s="118"/>
      <c r="B68" s="13">
        <v>53887</v>
      </c>
      <c r="C68" s="13">
        <v>20092</v>
      </c>
      <c r="D68" s="67"/>
      <c r="E68" s="13">
        <v>52855</v>
      </c>
      <c r="F68" s="13">
        <v>17727</v>
      </c>
      <c r="L68" s="118"/>
      <c r="M68" s="13">
        <v>29651</v>
      </c>
      <c r="N68" s="13">
        <v>151323</v>
      </c>
      <c r="O68" s="67"/>
      <c r="P68" s="13">
        <v>30683</v>
      </c>
      <c r="Q68" s="13">
        <v>153688</v>
      </c>
    </row>
    <row r="69" spans="1:20">
      <c r="A69" s="98" t="s">
        <v>27</v>
      </c>
      <c r="B69" s="11">
        <v>0.24230716639363822</v>
      </c>
      <c r="C69" s="11">
        <v>0.21379715633621182</v>
      </c>
      <c r="D69" s="66"/>
      <c r="E69" s="11">
        <v>0.24365051867854159</v>
      </c>
      <c r="F69" s="11">
        <v>0.22024223539122129</v>
      </c>
      <c r="L69" s="98" t="s">
        <v>27</v>
      </c>
      <c r="M69" s="11">
        <v>0.21149648314334224</v>
      </c>
      <c r="N69" s="11">
        <v>0.16992566639837128</v>
      </c>
      <c r="O69" s="66"/>
      <c r="P69" s="11">
        <v>0.20924270356347585</v>
      </c>
      <c r="Q69" s="11">
        <v>0.16983432274576182</v>
      </c>
    </row>
    <row r="70" spans="1:20">
      <c r="A70" s="118"/>
      <c r="B70" s="13">
        <v>180750</v>
      </c>
      <c r="C70" s="13">
        <v>52388</v>
      </c>
      <c r="D70" s="67"/>
      <c r="E70" s="13">
        <v>179328</v>
      </c>
      <c r="F70" s="13">
        <v>47497</v>
      </c>
      <c r="L70" s="118"/>
      <c r="M70" s="13">
        <v>61912</v>
      </c>
      <c r="N70" s="13">
        <v>183039</v>
      </c>
      <c r="O70" s="67"/>
      <c r="P70" s="13">
        <v>63334</v>
      </c>
      <c r="Q70" s="13">
        <v>187930</v>
      </c>
    </row>
    <row r="71" spans="1:20">
      <c r="A71" s="98" t="s">
        <v>26</v>
      </c>
      <c r="B71" s="11">
        <v>0.32892376741729384</v>
      </c>
      <c r="C71" s="11">
        <v>0.32733149414779872</v>
      </c>
      <c r="D71" s="66"/>
      <c r="E71" s="11">
        <v>0.323393183470221</v>
      </c>
      <c r="F71" s="11">
        <v>0.32272394253864917</v>
      </c>
      <c r="L71" s="98" t="s">
        <v>26</v>
      </c>
      <c r="M71" s="11">
        <v>0.42346096955245904</v>
      </c>
      <c r="N71" s="11">
        <v>0.50940936954299731</v>
      </c>
      <c r="O71" s="66"/>
      <c r="P71" s="11">
        <v>0.43380181180248578</v>
      </c>
      <c r="Q71" s="11">
        <v>0.50547332291656311</v>
      </c>
    </row>
    <row r="72" spans="1:20">
      <c r="A72" s="118"/>
      <c r="B72" s="13">
        <v>245362</v>
      </c>
      <c r="C72" s="13">
        <v>80208</v>
      </c>
      <c r="D72" s="67"/>
      <c r="E72" s="13">
        <v>238019</v>
      </c>
      <c r="F72" s="13">
        <v>69598</v>
      </c>
      <c r="L72" s="118"/>
      <c r="M72" s="13">
        <v>123961</v>
      </c>
      <c r="N72" s="13">
        <v>548721</v>
      </c>
      <c r="O72" s="67"/>
      <c r="P72" s="13">
        <v>131304</v>
      </c>
      <c r="Q72" s="13">
        <v>559331</v>
      </c>
    </row>
    <row r="73" spans="1:20">
      <c r="A73" s="98" t="s">
        <v>30</v>
      </c>
      <c r="B73" s="11">
        <v>0.50776187271601203</v>
      </c>
      <c r="C73" s="11">
        <v>0.46922493021433587</v>
      </c>
      <c r="D73" s="66"/>
      <c r="E73" s="11">
        <v>0.5061202029877514</v>
      </c>
      <c r="F73" s="11">
        <v>0.47167274109933321</v>
      </c>
      <c r="L73" s="98" t="s">
        <v>30</v>
      </c>
      <c r="M73" s="11">
        <v>0.52425930797006148</v>
      </c>
      <c r="N73" s="11">
        <v>0.49827093377003279</v>
      </c>
      <c r="O73" s="66"/>
      <c r="P73" s="11">
        <v>0.52770894866559626</v>
      </c>
      <c r="Q73" s="11">
        <v>0.49702272560907834</v>
      </c>
    </row>
    <row r="74" spans="1:20">
      <c r="A74" s="118"/>
      <c r="B74" s="13">
        <v>378767</v>
      </c>
      <c r="C74" s="13">
        <v>114977</v>
      </c>
      <c r="D74" s="67"/>
      <c r="E74" s="13">
        <v>372507</v>
      </c>
      <c r="F74" s="13">
        <v>101720</v>
      </c>
      <c r="L74" s="118"/>
      <c r="M74" s="13">
        <v>153468</v>
      </c>
      <c r="N74" s="13">
        <v>536723</v>
      </c>
      <c r="O74" s="67"/>
      <c r="P74" s="13">
        <v>159728</v>
      </c>
      <c r="Q74" s="13">
        <v>549980</v>
      </c>
    </row>
    <row r="75" spans="1:20">
      <c r="A75" s="98" t="s">
        <v>31</v>
      </c>
      <c r="B75" s="11">
        <v>6.3469061094920065E-2</v>
      </c>
      <c r="C75" s="11">
        <v>7.1903720269674662E-2</v>
      </c>
      <c r="D75" s="66"/>
      <c r="E75" s="11">
        <v>6.0923499161011134E-2</v>
      </c>
      <c r="F75" s="11">
        <v>7.1293436830537238E-2</v>
      </c>
      <c r="L75" s="98" t="s">
        <v>31</v>
      </c>
      <c r="M75" s="11">
        <v>0.11069814472573984</v>
      </c>
      <c r="N75" s="11">
        <v>0.18106410217133584</v>
      </c>
      <c r="O75" s="66"/>
      <c r="P75" s="11">
        <v>0.11533556670036541</v>
      </c>
      <c r="Q75" s="11">
        <v>0.17828492005324661</v>
      </c>
    </row>
    <row r="76" spans="1:20">
      <c r="A76" s="118"/>
      <c r="B76" s="13">
        <v>47345</v>
      </c>
      <c r="C76" s="13">
        <v>17619</v>
      </c>
      <c r="D76" s="85"/>
      <c r="E76" s="13">
        <v>44840</v>
      </c>
      <c r="F76" s="13">
        <v>15375</v>
      </c>
      <c r="L76" s="118"/>
      <c r="M76" s="13">
        <v>32405</v>
      </c>
      <c r="N76" s="13">
        <v>195037</v>
      </c>
      <c r="O76" s="85"/>
      <c r="P76" s="13">
        <v>34910</v>
      </c>
      <c r="Q76" s="13">
        <v>197281</v>
      </c>
    </row>
    <row r="79" spans="1:20" ht="32.450000000000003" customHeight="1">
      <c r="A79" s="111" t="s">
        <v>404</v>
      </c>
      <c r="B79" s="111"/>
      <c r="C79" s="111"/>
      <c r="D79" s="111"/>
      <c r="E79" s="111"/>
      <c r="F79" s="111"/>
      <c r="G79" s="111"/>
      <c r="H79" s="111"/>
      <c r="I79" s="111"/>
      <c r="L79" s="112" t="s">
        <v>405</v>
      </c>
      <c r="M79" s="111"/>
      <c r="N79" s="111"/>
      <c r="O79" s="111"/>
      <c r="P79" s="111"/>
      <c r="Q79" s="111"/>
      <c r="R79" s="111"/>
      <c r="S79" s="111"/>
      <c r="T79" s="111"/>
    </row>
    <row r="80" spans="1:20" ht="28.9">
      <c r="A80" s="51"/>
      <c r="B80" s="52" t="s">
        <v>360</v>
      </c>
      <c r="C80" s="53" t="s">
        <v>361</v>
      </c>
      <c r="D80" s="53" t="s">
        <v>28</v>
      </c>
      <c r="E80" s="53" t="s">
        <v>29</v>
      </c>
      <c r="F80" s="53" t="s">
        <v>362</v>
      </c>
      <c r="G80" s="53" t="s">
        <v>363</v>
      </c>
      <c r="H80" s="53" t="s">
        <v>364</v>
      </c>
      <c r="I80" s="53" t="s">
        <v>365</v>
      </c>
      <c r="L80" s="51"/>
      <c r="M80" s="52" t="s">
        <v>360</v>
      </c>
      <c r="N80" s="53" t="s">
        <v>361</v>
      </c>
      <c r="O80" s="53" t="s">
        <v>28</v>
      </c>
      <c r="P80" s="53" t="s">
        <v>29</v>
      </c>
      <c r="Q80" s="53" t="s">
        <v>362</v>
      </c>
      <c r="R80" s="53" t="s">
        <v>363</v>
      </c>
      <c r="S80" s="53" t="s">
        <v>364</v>
      </c>
      <c r="T80" s="53" t="s">
        <v>365</v>
      </c>
    </row>
    <row r="81" spans="1:22">
      <c r="A81" s="54">
        <v>2023</v>
      </c>
      <c r="B81" s="13">
        <v>564766</v>
      </c>
      <c r="C81" s="11">
        <v>0.60447259587803648</v>
      </c>
      <c r="D81" s="11">
        <v>0.52377364306569973</v>
      </c>
      <c r="E81" s="11">
        <v>0.3469183741619502</v>
      </c>
      <c r="F81" s="11">
        <v>8.0698952812336772E-2</v>
      </c>
      <c r="G81" s="11">
        <v>0.25755422171608627</v>
      </c>
      <c r="H81" s="11">
        <v>0.53367932767640791</v>
      </c>
      <c r="I81" s="11">
        <v>7.0793268201628581E-2</v>
      </c>
      <c r="L81" s="54">
        <v>2023</v>
      </c>
      <c r="M81" s="13">
        <v>997804</v>
      </c>
      <c r="N81" s="11">
        <v>0.70763179748961214</v>
      </c>
      <c r="O81" s="11">
        <v>0.56731233613297583</v>
      </c>
      <c r="P81" s="11">
        <v>0.51172821601334972</v>
      </c>
      <c r="Q81" s="11">
        <v>0.14031946135663634</v>
      </c>
      <c r="R81" s="11">
        <v>0.19590358147626238</v>
      </c>
      <c r="S81" s="11">
        <v>0.53151884918453884</v>
      </c>
      <c r="T81" s="11">
        <v>0.17611294830507332</v>
      </c>
      <c r="V81" s="24"/>
    </row>
    <row r="82" spans="1:22">
      <c r="A82" s="72" t="s">
        <v>406</v>
      </c>
      <c r="B82" s="13">
        <v>436598</v>
      </c>
      <c r="C82" s="11">
        <v>0.61028686129958432</v>
      </c>
      <c r="D82" s="11">
        <v>0.53162715020170592</v>
      </c>
      <c r="E82" s="11">
        <v>0.34473258242265142</v>
      </c>
      <c r="F82" s="11">
        <v>7.8659711097878379E-2</v>
      </c>
      <c r="G82" s="11">
        <v>0.26555427887693284</v>
      </c>
      <c r="H82" s="11">
        <v>0.54404401466037089</v>
      </c>
      <c r="I82" s="11">
        <v>6.6242846639213412E-2</v>
      </c>
      <c r="L82" s="72" t="s">
        <v>406</v>
      </c>
      <c r="M82" s="13">
        <v>1125972</v>
      </c>
      <c r="N82" s="11">
        <v>0.69121502785493949</v>
      </c>
      <c r="O82" s="11">
        <v>0.55801224696511609</v>
      </c>
      <c r="P82" s="11">
        <v>0.49053975659540511</v>
      </c>
      <c r="Q82" s="11">
        <v>0.13320278088982335</v>
      </c>
      <c r="R82" s="11">
        <v>0.20067527125953438</v>
      </c>
      <c r="S82" s="11">
        <v>0.52725732439110484</v>
      </c>
      <c r="T82" s="11">
        <v>0.16395770346383462</v>
      </c>
      <c r="V82" s="24"/>
    </row>
    <row r="85" spans="1:22" ht="32.450000000000003" customHeight="1">
      <c r="A85" s="111" t="s">
        <v>407</v>
      </c>
      <c r="B85" s="111"/>
      <c r="C85" s="111"/>
      <c r="D85" s="111"/>
      <c r="E85" s="111"/>
      <c r="F85" s="111"/>
      <c r="G85" s="111"/>
      <c r="H85" s="111"/>
      <c r="I85" s="111"/>
      <c r="L85" s="112" t="s">
        <v>408</v>
      </c>
      <c r="M85" s="111"/>
      <c r="N85" s="111"/>
      <c r="O85" s="111"/>
      <c r="P85" s="111"/>
      <c r="Q85" s="111"/>
      <c r="R85" s="111"/>
      <c r="S85" s="111"/>
      <c r="T85" s="111"/>
    </row>
    <row r="86" spans="1:22" ht="28.9">
      <c r="A86" s="51"/>
      <c r="B86" s="52" t="s">
        <v>360</v>
      </c>
      <c r="C86" s="53" t="s">
        <v>361</v>
      </c>
      <c r="D86" s="53" t="s">
        <v>28</v>
      </c>
      <c r="E86" s="53" t="s">
        <v>29</v>
      </c>
      <c r="F86" s="53" t="s">
        <v>362</v>
      </c>
      <c r="G86" s="53" t="s">
        <v>363</v>
      </c>
      <c r="H86" s="53" t="s">
        <v>364</v>
      </c>
      <c r="I86" s="53" t="s">
        <v>365</v>
      </c>
      <c r="L86" s="51"/>
      <c r="M86" s="52" t="s">
        <v>360</v>
      </c>
      <c r="N86" s="53" t="s">
        <v>361</v>
      </c>
      <c r="O86" s="53" t="s">
        <v>28</v>
      </c>
      <c r="P86" s="53" t="s">
        <v>29</v>
      </c>
      <c r="Q86" s="53" t="s">
        <v>362</v>
      </c>
      <c r="R86" s="53" t="s">
        <v>363</v>
      </c>
      <c r="S86" s="53" t="s">
        <v>364</v>
      </c>
      <c r="T86" s="53" t="s">
        <v>365</v>
      </c>
    </row>
    <row r="87" spans="1:22">
      <c r="A87" s="54">
        <v>2023</v>
      </c>
      <c r="B87" s="13">
        <v>416701</v>
      </c>
      <c r="C87" s="11">
        <v>0.78784561514959006</v>
      </c>
      <c r="D87" s="11">
        <v>0.77864756719705386</v>
      </c>
      <c r="E87" s="11">
        <v>0.84734322710007204</v>
      </c>
      <c r="F87" s="11">
        <v>0.68395435019082207</v>
      </c>
      <c r="G87" s="11">
        <v>0.8600988600956545</v>
      </c>
      <c r="H87" s="11">
        <v>0.78096624887272381</v>
      </c>
      <c r="I87" s="11">
        <v>0.84175005429244421</v>
      </c>
      <c r="L87" s="54">
        <v>2023</v>
      </c>
      <c r="M87" s="13">
        <v>832228</v>
      </c>
      <c r="N87" s="11">
        <v>0.87631635198470237</v>
      </c>
      <c r="O87" s="11">
        <v>0.86383360825313193</v>
      </c>
      <c r="P87" s="11">
        <v>0.92580742971257701</v>
      </c>
      <c r="Q87" s="11">
        <v>0.73771470524167193</v>
      </c>
      <c r="R87" s="11">
        <v>0.92527547375215702</v>
      </c>
      <c r="S87" s="11">
        <v>0.85732718816281606</v>
      </c>
      <c r="T87" s="11">
        <v>0.9330243959770983</v>
      </c>
      <c r="V87" s="24"/>
    </row>
    <row r="88" spans="1:22">
      <c r="A88" s="72" t="s">
        <v>406</v>
      </c>
      <c r="B88" s="13">
        <v>322399</v>
      </c>
      <c r="C88" s="11">
        <v>0.78705120975321574</v>
      </c>
      <c r="D88" s="11">
        <v>0.77830237611270769</v>
      </c>
      <c r="E88" s="11">
        <v>0.84597952940287802</v>
      </c>
      <c r="F88" s="11">
        <v>0.68582083916652625</v>
      </c>
      <c r="G88" s="11">
        <v>0.86043152744207985</v>
      </c>
      <c r="H88" s="11">
        <v>0.78074570394277742</v>
      </c>
      <c r="I88" s="11">
        <v>0.84112105841378182</v>
      </c>
      <c r="L88" s="72" t="s">
        <v>406</v>
      </c>
      <c r="M88" s="13">
        <v>926530</v>
      </c>
      <c r="N88" s="11">
        <v>0.86674861455678909</v>
      </c>
      <c r="O88" s="11">
        <v>0.85392889915459147</v>
      </c>
      <c r="P88" s="11">
        <v>0.91945054051857267</v>
      </c>
      <c r="Q88" s="11">
        <v>0.72838709016183423</v>
      </c>
      <c r="R88" s="11">
        <v>0.91892072939009228</v>
      </c>
      <c r="S88" s="11">
        <v>0.8478349572792433</v>
      </c>
      <c r="T88" s="11">
        <v>0.92702376662645503</v>
      </c>
      <c r="V88" s="24"/>
    </row>
  </sheetData>
  <mergeCells count="50">
    <mergeCell ref="A41:I41"/>
    <mergeCell ref="L41:T41"/>
    <mergeCell ref="A60:I60"/>
    <mergeCell ref="L60:T60"/>
    <mergeCell ref="A73:A74"/>
    <mergeCell ref="L73:L74"/>
    <mergeCell ref="P61:Q61"/>
    <mergeCell ref="A63:A64"/>
    <mergeCell ref="L63:L64"/>
    <mergeCell ref="A65:A66"/>
    <mergeCell ref="L65:L66"/>
    <mergeCell ref="L46:L47"/>
    <mergeCell ref="L44:L45"/>
    <mergeCell ref="B61:C61"/>
    <mergeCell ref="E61:F61"/>
    <mergeCell ref="M61:N61"/>
    <mergeCell ref="A75:A76"/>
    <mergeCell ref="L75:L76"/>
    <mergeCell ref="A67:A68"/>
    <mergeCell ref="L67:L68"/>
    <mergeCell ref="A69:A70"/>
    <mergeCell ref="L69:L70"/>
    <mergeCell ref="A71:A72"/>
    <mergeCell ref="L71:L72"/>
    <mergeCell ref="L48:L49"/>
    <mergeCell ref="L50:L51"/>
    <mergeCell ref="L52:L53"/>
    <mergeCell ref="L54:L55"/>
    <mergeCell ref="L56:L57"/>
    <mergeCell ref="A48:A49"/>
    <mergeCell ref="A50:A51"/>
    <mergeCell ref="A52:A53"/>
    <mergeCell ref="A54:A55"/>
    <mergeCell ref="A56:A57"/>
    <mergeCell ref="A79:I79"/>
    <mergeCell ref="L79:T79"/>
    <mergeCell ref="A85:I85"/>
    <mergeCell ref="L85:T85"/>
    <mergeCell ref="A3:E3"/>
    <mergeCell ref="M3:Q3"/>
    <mergeCell ref="A29:I29"/>
    <mergeCell ref="L29:T29"/>
    <mergeCell ref="A35:I35"/>
    <mergeCell ref="L35:T35"/>
    <mergeCell ref="B42:C42"/>
    <mergeCell ref="E42:F42"/>
    <mergeCell ref="P42:Q42"/>
    <mergeCell ref="M42:N42"/>
    <mergeCell ref="A44:A45"/>
    <mergeCell ref="A46:A4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D4A0A-6007-494B-86BC-A7F43164FFA6}">
  <dimension ref="A1:V50"/>
  <sheetViews>
    <sheetView topLeftCell="B29" zoomScaleNormal="100" workbookViewId="0">
      <selection activeCell="H52" sqref="H52"/>
    </sheetView>
  </sheetViews>
  <sheetFormatPr defaultRowHeight="14.45"/>
  <cols>
    <col min="1" max="1" width="15.7109375" customWidth="1"/>
    <col min="2" max="2" width="13" customWidth="1"/>
    <col min="3" max="3" width="14.42578125" customWidth="1"/>
    <col min="4" max="4" width="13.7109375" customWidth="1"/>
    <col min="5" max="5" width="14.7109375" customWidth="1"/>
    <col min="6" max="9" width="12.85546875" customWidth="1"/>
    <col min="12" max="12" width="19" customWidth="1"/>
    <col min="13" max="13" width="17.140625" customWidth="1"/>
    <col min="14" max="14" width="13" customWidth="1"/>
    <col min="15" max="15" width="14.42578125" customWidth="1"/>
    <col min="16" max="16" width="13.7109375" customWidth="1"/>
    <col min="17" max="17" width="13.85546875" customWidth="1"/>
    <col min="18" max="20" width="12.85546875" customWidth="1"/>
  </cols>
  <sheetData>
    <row r="1" spans="1:17" ht="36" customHeight="1">
      <c r="A1" s="73" t="s">
        <v>409</v>
      </c>
    </row>
    <row r="3" spans="1:17" ht="18">
      <c r="A3" s="113" t="s">
        <v>410</v>
      </c>
      <c r="B3" s="108"/>
      <c r="C3" s="108"/>
      <c r="D3" s="108"/>
      <c r="E3" s="108"/>
      <c r="M3" s="113" t="s">
        <v>411</v>
      </c>
      <c r="N3" s="108"/>
      <c r="O3" s="108"/>
      <c r="P3" s="108"/>
      <c r="Q3" s="108"/>
    </row>
    <row r="4" spans="1:17">
      <c r="A4" s="26"/>
      <c r="B4" s="26"/>
      <c r="C4" s="26"/>
      <c r="D4" s="26"/>
      <c r="E4" s="26"/>
      <c r="M4" s="26"/>
      <c r="N4" s="26"/>
      <c r="O4" s="26"/>
      <c r="P4" s="26"/>
      <c r="Q4" s="26"/>
    </row>
    <row r="5" spans="1:17">
      <c r="A5" s="2" t="str">
        <f>CONCATENATE("Table 86a. High-Poverty High School and Student Counts ",A7," to ",A11)</f>
        <v>Table 86a. High-Poverty High School and Student Counts Class of 2019 to Class of 2025</v>
      </c>
      <c r="B5" s="26"/>
      <c r="C5" s="26"/>
      <c r="D5" s="26"/>
      <c r="E5" s="26"/>
      <c r="M5" s="2" t="str">
        <f>CONCATENATE("Table 86b. Low-Poverty High School and Student Counts ",M7," to ",M11)</f>
        <v>Table 86b. Low-Poverty High School and Student Counts Class of 2019 to Class of 2025</v>
      </c>
      <c r="N5" s="26"/>
      <c r="O5" s="26"/>
      <c r="P5" s="26"/>
      <c r="Q5" s="26"/>
    </row>
    <row r="6" spans="1:17" ht="34.9" customHeight="1">
      <c r="A6" s="57" t="s">
        <v>383</v>
      </c>
      <c r="B6" s="57" t="s">
        <v>384</v>
      </c>
      <c r="C6" s="57" t="s">
        <v>385</v>
      </c>
      <c r="D6" s="57" t="s">
        <v>386</v>
      </c>
      <c r="E6" s="57" t="s">
        <v>387</v>
      </c>
      <c r="M6" s="57" t="s">
        <v>383</v>
      </c>
      <c r="N6" s="57" t="s">
        <v>384</v>
      </c>
      <c r="O6" s="57" t="s">
        <v>385</v>
      </c>
      <c r="P6" s="57" t="s">
        <v>386</v>
      </c>
      <c r="Q6" s="57" t="s">
        <v>387</v>
      </c>
    </row>
    <row r="7" spans="1:17">
      <c r="A7" s="69" t="s">
        <v>388</v>
      </c>
      <c r="B7" s="13">
        <v>1886</v>
      </c>
      <c r="C7" s="13">
        <v>2850</v>
      </c>
      <c r="D7" s="13">
        <v>340751</v>
      </c>
      <c r="E7" s="13">
        <v>451565</v>
      </c>
      <c r="M7" s="69" t="s">
        <v>388</v>
      </c>
      <c r="N7" s="13">
        <v>2309</v>
      </c>
      <c r="O7" s="13">
        <v>2863</v>
      </c>
      <c r="P7" s="13">
        <v>613568</v>
      </c>
      <c r="Q7" s="13">
        <v>758647</v>
      </c>
    </row>
    <row r="8" spans="1:17">
      <c r="A8" s="69" t="s">
        <v>389</v>
      </c>
      <c r="B8" s="13">
        <v>1958</v>
      </c>
      <c r="C8" s="13">
        <v>2640</v>
      </c>
      <c r="D8" s="13">
        <v>348715</v>
      </c>
      <c r="E8" s="13">
        <v>444819</v>
      </c>
      <c r="M8" s="69" t="s">
        <v>389</v>
      </c>
      <c r="N8" s="13">
        <v>2566</v>
      </c>
      <c r="O8" s="13">
        <v>3091</v>
      </c>
      <c r="P8" s="13">
        <v>637222</v>
      </c>
      <c r="Q8" s="13">
        <v>774817</v>
      </c>
    </row>
    <row r="9" spans="1:17">
      <c r="A9" s="69" t="s">
        <v>390</v>
      </c>
      <c r="B9" s="13">
        <v>2478</v>
      </c>
      <c r="C9" s="13">
        <v>3340</v>
      </c>
      <c r="D9" s="13">
        <v>408487</v>
      </c>
      <c r="E9" s="13">
        <v>531729</v>
      </c>
      <c r="M9" s="69" t="s">
        <v>390</v>
      </c>
      <c r="N9" s="13">
        <v>1998</v>
      </c>
      <c r="O9" s="13">
        <v>2411</v>
      </c>
      <c r="P9" s="13">
        <v>507003</v>
      </c>
      <c r="Q9" s="13">
        <v>610249</v>
      </c>
    </row>
    <row r="10" spans="1:17">
      <c r="A10" s="69" t="s">
        <v>391</v>
      </c>
      <c r="B10" s="13">
        <v>2542</v>
      </c>
      <c r="C10" s="13">
        <v>3530</v>
      </c>
      <c r="D10" s="13">
        <v>425539</v>
      </c>
      <c r="E10" s="13">
        <v>562866</v>
      </c>
      <c r="M10" s="69" t="s">
        <v>391</v>
      </c>
      <c r="N10" s="13">
        <v>1652</v>
      </c>
      <c r="O10" s="13">
        <v>1984</v>
      </c>
      <c r="P10" s="13">
        <v>435690</v>
      </c>
      <c r="Q10" s="13">
        <v>530145</v>
      </c>
    </row>
    <row r="11" spans="1:17">
      <c r="A11" s="69" t="s">
        <v>392</v>
      </c>
      <c r="B11" s="13">
        <v>2483</v>
      </c>
      <c r="C11" s="13">
        <v>3601</v>
      </c>
      <c r="D11" s="13">
        <v>464108</v>
      </c>
      <c r="E11" s="13">
        <v>611790</v>
      </c>
      <c r="M11" s="69" t="s">
        <v>392</v>
      </c>
      <c r="N11" s="13">
        <v>1542</v>
      </c>
      <c r="O11" s="13">
        <v>2007</v>
      </c>
      <c r="P11" s="13">
        <v>406531</v>
      </c>
      <c r="Q11" s="13">
        <v>539015</v>
      </c>
    </row>
    <row r="29" spans="1:22" ht="32.450000000000003" customHeight="1">
      <c r="A29" s="112" t="s">
        <v>412</v>
      </c>
      <c r="B29" s="111"/>
      <c r="C29" s="111"/>
      <c r="D29" s="111"/>
      <c r="E29" s="111"/>
      <c r="F29" s="111"/>
      <c r="G29" s="111"/>
      <c r="H29" s="111"/>
      <c r="I29" s="111"/>
      <c r="L29" s="112" t="s">
        <v>413</v>
      </c>
      <c r="M29" s="111"/>
      <c r="N29" s="111"/>
      <c r="O29" s="111"/>
      <c r="P29" s="111"/>
      <c r="Q29" s="111"/>
      <c r="R29" s="111"/>
      <c r="S29" s="111"/>
      <c r="T29" s="111"/>
    </row>
    <row r="30" spans="1:22" ht="26.45" customHeight="1">
      <c r="A30" s="51"/>
      <c r="B30" s="52" t="s">
        <v>360</v>
      </c>
      <c r="C30" s="53" t="s">
        <v>361</v>
      </c>
      <c r="D30" s="53" t="s">
        <v>28</v>
      </c>
      <c r="E30" s="53" t="s">
        <v>29</v>
      </c>
      <c r="F30" s="53" t="s">
        <v>362</v>
      </c>
      <c r="G30" s="53" t="s">
        <v>363</v>
      </c>
      <c r="H30" s="53" t="s">
        <v>364</v>
      </c>
      <c r="I30" s="53" t="s">
        <v>365</v>
      </c>
      <c r="L30" s="51"/>
      <c r="M30" s="52" t="s">
        <v>360</v>
      </c>
      <c r="N30" s="53" t="s">
        <v>361</v>
      </c>
      <c r="O30" s="53" t="s">
        <v>28</v>
      </c>
      <c r="P30" s="53" t="s">
        <v>29</v>
      </c>
      <c r="Q30" s="53" t="s">
        <v>362</v>
      </c>
      <c r="R30" s="53" t="s">
        <v>363</v>
      </c>
      <c r="S30" s="53" t="s">
        <v>364</v>
      </c>
      <c r="T30" s="53" t="s">
        <v>365</v>
      </c>
    </row>
    <row r="31" spans="1:22">
      <c r="A31" s="54">
        <v>2025</v>
      </c>
      <c r="B31" s="13">
        <v>230048</v>
      </c>
      <c r="C31" s="11">
        <v>0.51164300996828471</v>
      </c>
      <c r="D31" s="11">
        <v>0.45368595232482106</v>
      </c>
      <c r="E31" s="11">
        <v>5.7957057643463677E-2</v>
      </c>
      <c r="F31" s="11">
        <v>0.22254273551796383</v>
      </c>
      <c r="G31" s="11">
        <v>0.28910027445032094</v>
      </c>
      <c r="H31" s="11">
        <v>0.46478628904912084</v>
      </c>
      <c r="I31" s="11">
        <v>4.685672091916393E-2</v>
      </c>
      <c r="J31" s="24"/>
      <c r="L31" s="54">
        <v>2025</v>
      </c>
      <c r="M31" s="13">
        <v>290842</v>
      </c>
      <c r="N31" s="11">
        <v>0.73934109512430723</v>
      </c>
      <c r="O31" s="11">
        <v>0.57825003813106923</v>
      </c>
      <c r="P31" s="11">
        <v>0.16109105699323809</v>
      </c>
      <c r="Q31" s="11">
        <v>0.1383013879709187</v>
      </c>
      <c r="R31" s="11">
        <v>0.60103970715338861</v>
      </c>
      <c r="S31" s="11">
        <v>0.49853830901418478</v>
      </c>
      <c r="T31" s="11">
        <v>0.24080278611012254</v>
      </c>
      <c r="V31" s="24"/>
    </row>
    <row r="32" spans="1:22">
      <c r="A32" s="72" t="s">
        <v>401</v>
      </c>
      <c r="B32" s="13">
        <v>203452</v>
      </c>
      <c r="C32" s="11">
        <v>0.50652034277235314</v>
      </c>
      <c r="D32" s="11">
        <v>0.45044141152101497</v>
      </c>
      <c r="E32" s="11">
        <v>5.6078931251338178E-2</v>
      </c>
      <c r="F32" s="11">
        <v>0.22039455667146335</v>
      </c>
      <c r="G32" s="11">
        <v>0.28612578610088979</v>
      </c>
      <c r="H32" s="11">
        <v>0.46212275870997294</v>
      </c>
      <c r="I32" s="11">
        <v>4.4397584062380188E-2</v>
      </c>
      <c r="J32" s="24"/>
      <c r="L32" s="72" t="s">
        <v>401</v>
      </c>
      <c r="M32" s="13">
        <v>289162</v>
      </c>
      <c r="N32" s="11">
        <v>0.7364707919884268</v>
      </c>
      <c r="O32" s="11">
        <v>0.57795085474439167</v>
      </c>
      <c r="P32" s="11">
        <v>0.15851993724403513</v>
      </c>
      <c r="Q32" s="11">
        <v>0.14363831781413638</v>
      </c>
      <c r="R32" s="11">
        <v>0.59283247417429041</v>
      </c>
      <c r="S32" s="11">
        <v>0.49635281892459099</v>
      </c>
      <c r="T32" s="11">
        <v>0.24011797306383587</v>
      </c>
      <c r="V32" s="24"/>
    </row>
    <row r="35" spans="1:22" ht="32.450000000000003" customHeight="1">
      <c r="A35" s="112" t="s">
        <v>414</v>
      </c>
      <c r="B35" s="111"/>
      <c r="C35" s="111"/>
      <c r="D35" s="111"/>
      <c r="E35" s="111"/>
      <c r="F35" s="111"/>
      <c r="G35" s="111"/>
      <c r="H35" s="111"/>
      <c r="I35" s="111"/>
      <c r="L35" s="112" t="s">
        <v>415</v>
      </c>
      <c r="M35" s="111"/>
      <c r="N35" s="111"/>
      <c r="O35" s="111"/>
      <c r="P35" s="111"/>
      <c r="Q35" s="111"/>
      <c r="R35" s="111"/>
      <c r="S35" s="111"/>
      <c r="T35" s="111"/>
    </row>
    <row r="36" spans="1:22" ht="28.9">
      <c r="A36" s="51"/>
      <c r="B36" s="52" t="s">
        <v>360</v>
      </c>
      <c r="C36" s="53" t="s">
        <v>361</v>
      </c>
      <c r="D36" s="53" t="s">
        <v>28</v>
      </c>
      <c r="E36" s="53" t="s">
        <v>29</v>
      </c>
      <c r="F36" s="53" t="s">
        <v>362</v>
      </c>
      <c r="G36" s="53" t="s">
        <v>363</v>
      </c>
      <c r="H36" s="53" t="s">
        <v>364</v>
      </c>
      <c r="I36" s="53" t="s">
        <v>365</v>
      </c>
      <c r="L36" s="51"/>
      <c r="M36" s="52" t="s">
        <v>360</v>
      </c>
      <c r="N36" s="53" t="s">
        <v>361</v>
      </c>
      <c r="O36" s="53" t="s">
        <v>28</v>
      </c>
      <c r="P36" s="53" t="s">
        <v>29</v>
      </c>
      <c r="Q36" s="53" t="s">
        <v>362</v>
      </c>
      <c r="R36" s="53" t="s">
        <v>363</v>
      </c>
      <c r="S36" s="53" t="s">
        <v>364</v>
      </c>
      <c r="T36" s="53" t="s">
        <v>365</v>
      </c>
    </row>
    <row r="37" spans="1:22">
      <c r="A37" s="54">
        <v>2024</v>
      </c>
      <c r="B37" s="13">
        <v>227500</v>
      </c>
      <c r="C37" s="11">
        <v>0.5464375872198457</v>
      </c>
      <c r="D37" s="11">
        <v>0.48424458306211615</v>
      </c>
      <c r="E37" s="11">
        <v>6.2193004157729513E-2</v>
      </c>
      <c r="F37" s="11">
        <v>0.24751581066117748</v>
      </c>
      <c r="G37" s="11">
        <v>0.2989217765586682</v>
      </c>
      <c r="H37" s="11">
        <v>0.49643914847009485</v>
      </c>
      <c r="I37" s="11">
        <v>4.9998438749750802E-2</v>
      </c>
      <c r="L37" s="54">
        <v>2024</v>
      </c>
      <c r="M37" s="13">
        <v>315852</v>
      </c>
      <c r="N37" s="11">
        <v>0.75591975837525549</v>
      </c>
      <c r="O37" s="11">
        <v>0.59483340433373699</v>
      </c>
      <c r="P37" s="11">
        <v>0.16108635404151847</v>
      </c>
      <c r="Q37" s="11">
        <v>0.15034056261038967</v>
      </c>
      <c r="R37" s="11">
        <v>0.60557919576486585</v>
      </c>
      <c r="S37" s="11">
        <v>0.51672179169917531</v>
      </c>
      <c r="T37" s="11">
        <v>0.2391979666760802</v>
      </c>
      <c r="V37" s="24"/>
    </row>
    <row r="38" spans="1:22">
      <c r="A38" s="72" t="s">
        <v>398</v>
      </c>
      <c r="B38" s="13">
        <v>219269</v>
      </c>
      <c r="C38" s="11">
        <v>0.5462850850312172</v>
      </c>
      <c r="D38" s="11">
        <v>0.48333258591566142</v>
      </c>
      <c r="E38" s="11">
        <v>6.2952499115555755E-2</v>
      </c>
      <c r="F38" s="11">
        <v>0.24849893617551361</v>
      </c>
      <c r="G38" s="11">
        <v>0.29778614885570354</v>
      </c>
      <c r="H38" s="11">
        <v>0.49474814515847748</v>
      </c>
      <c r="I38" s="11">
        <v>5.1536939872739683E-2</v>
      </c>
      <c r="L38" s="72" t="s">
        <v>398</v>
      </c>
      <c r="M38" s="13">
        <v>359963</v>
      </c>
      <c r="N38" s="11">
        <v>0.74123349813745942</v>
      </c>
      <c r="O38" s="11">
        <v>0.58617416247449172</v>
      </c>
      <c r="P38" s="11">
        <v>0.15505933566296767</v>
      </c>
      <c r="Q38" s="11">
        <v>0.15266861191820058</v>
      </c>
      <c r="R38" s="11">
        <v>0.58856488621925884</v>
      </c>
      <c r="S38" s="11">
        <v>0.51511962885094942</v>
      </c>
      <c r="T38" s="11">
        <v>0.22611386928651001</v>
      </c>
      <c r="V38" s="24"/>
    </row>
    <row r="41" spans="1:22">
      <c r="A41" s="112" t="s">
        <v>416</v>
      </c>
      <c r="B41" s="111"/>
      <c r="C41" s="111"/>
      <c r="D41" s="111"/>
      <c r="E41" s="111"/>
      <c r="F41" s="111"/>
      <c r="G41" s="111"/>
      <c r="H41" s="111"/>
      <c r="I41" s="111"/>
      <c r="L41" s="112" t="s">
        <v>417</v>
      </c>
      <c r="M41" s="111"/>
      <c r="N41" s="111"/>
      <c r="O41" s="111"/>
      <c r="P41" s="111"/>
      <c r="Q41" s="111"/>
      <c r="R41" s="111"/>
      <c r="S41" s="111"/>
      <c r="T41" s="111"/>
    </row>
    <row r="42" spans="1:22" ht="28.9">
      <c r="A42" s="51"/>
      <c r="B42" s="52" t="s">
        <v>360</v>
      </c>
      <c r="C42" s="53" t="s">
        <v>361</v>
      </c>
      <c r="D42" s="53" t="s">
        <v>28</v>
      </c>
      <c r="E42" s="53" t="s">
        <v>29</v>
      </c>
      <c r="F42" s="53" t="s">
        <v>362</v>
      </c>
      <c r="G42" s="53" t="s">
        <v>363</v>
      </c>
      <c r="H42" s="53" t="s">
        <v>364</v>
      </c>
      <c r="I42" s="53" t="s">
        <v>365</v>
      </c>
      <c r="L42" s="51"/>
      <c r="M42" s="52" t="s">
        <v>360</v>
      </c>
      <c r="N42" s="53" t="s">
        <v>361</v>
      </c>
      <c r="O42" s="53" t="s">
        <v>28</v>
      </c>
      <c r="P42" s="53" t="s">
        <v>29</v>
      </c>
      <c r="Q42" s="53" t="s">
        <v>362</v>
      </c>
      <c r="R42" s="53" t="s">
        <v>363</v>
      </c>
      <c r="S42" s="53" t="s">
        <v>364</v>
      </c>
      <c r="T42" s="53" t="s">
        <v>365</v>
      </c>
    </row>
    <row r="43" spans="1:22">
      <c r="A43" s="54">
        <v>2023</v>
      </c>
      <c r="B43" s="13">
        <v>230955</v>
      </c>
      <c r="C43" s="11">
        <v>0.58700707849890077</v>
      </c>
      <c r="D43" s="11">
        <v>0.51638729682674833</v>
      </c>
      <c r="E43" s="11">
        <v>0.31917802996606898</v>
      </c>
      <c r="F43" s="11">
        <v>7.0619781672152396E-2</v>
      </c>
      <c r="G43" s="11">
        <v>0.26782904853283179</v>
      </c>
      <c r="H43" s="11">
        <v>0.52784760258740104</v>
      </c>
      <c r="I43" s="11">
        <v>5.9159475911499698E-2</v>
      </c>
      <c r="L43" s="54">
        <v>2023</v>
      </c>
      <c r="M43" s="13">
        <v>380174</v>
      </c>
      <c r="N43" s="11">
        <v>0.77862226454896422</v>
      </c>
      <c r="O43" s="11">
        <v>0.61244201407022825</v>
      </c>
      <c r="P43" s="11">
        <v>0.61023624466222237</v>
      </c>
      <c r="Q43" s="11">
        <v>0.16618025047873594</v>
      </c>
      <c r="R43" s="11">
        <v>0.16838601988674184</v>
      </c>
      <c r="S43" s="11">
        <v>0.53965571974235305</v>
      </c>
      <c r="T43" s="11">
        <v>0.23896654480661117</v>
      </c>
    </row>
    <row r="44" spans="1:22">
      <c r="A44" s="72" t="s">
        <v>406</v>
      </c>
      <c r="B44" s="13">
        <v>196137</v>
      </c>
      <c r="C44" s="11">
        <v>0.59191871027710208</v>
      </c>
      <c r="D44" s="11">
        <v>0.52308983033456258</v>
      </c>
      <c r="E44" s="11">
        <v>0.32087047845532624</v>
      </c>
      <c r="F44" s="11">
        <v>6.8828879942539486E-2</v>
      </c>
      <c r="G44" s="11">
        <v>0.27104823182177584</v>
      </c>
      <c r="H44" s="11">
        <v>0.53853536054659912</v>
      </c>
      <c r="I44" s="11">
        <v>5.338334973050296E-2</v>
      </c>
      <c r="L44" s="72" t="s">
        <v>406</v>
      </c>
      <c r="M44" s="13">
        <v>460106</v>
      </c>
      <c r="N44" s="11">
        <v>0.75976862118902821</v>
      </c>
      <c r="O44" s="11">
        <v>0.60101356204806244</v>
      </c>
      <c r="P44" s="11">
        <v>0.56599134393571859</v>
      </c>
      <c r="Q44" s="11">
        <v>0.15875505914096572</v>
      </c>
      <c r="R44" s="11">
        <v>0.19377727725330959</v>
      </c>
      <c r="S44" s="11">
        <v>0.53155038004448574</v>
      </c>
      <c r="T44" s="11">
        <v>0.22821824114454239</v>
      </c>
    </row>
    <row r="47" spans="1:22">
      <c r="A47" s="112" t="s">
        <v>418</v>
      </c>
      <c r="B47" s="111"/>
      <c r="C47" s="111"/>
      <c r="D47" s="111"/>
      <c r="E47" s="111"/>
      <c r="F47" s="111"/>
      <c r="G47" s="111"/>
      <c r="H47" s="111"/>
      <c r="I47" s="111"/>
      <c r="L47" s="112" t="s">
        <v>419</v>
      </c>
      <c r="M47" s="111"/>
      <c r="N47" s="111"/>
      <c r="O47" s="111"/>
      <c r="P47" s="111"/>
      <c r="Q47" s="111"/>
      <c r="R47" s="111"/>
      <c r="S47" s="111"/>
      <c r="T47" s="111"/>
    </row>
    <row r="48" spans="1:22" ht="28.9">
      <c r="A48" s="51"/>
      <c r="B48" s="52" t="s">
        <v>360</v>
      </c>
      <c r="C48" s="53" t="s">
        <v>361</v>
      </c>
      <c r="D48" s="53" t="s">
        <v>28</v>
      </c>
      <c r="E48" s="53" t="s">
        <v>29</v>
      </c>
      <c r="F48" s="53" t="s">
        <v>362</v>
      </c>
      <c r="G48" s="53" t="s">
        <v>363</v>
      </c>
      <c r="H48" s="53" t="s">
        <v>364</v>
      </c>
      <c r="I48" s="53" t="s">
        <v>365</v>
      </c>
      <c r="L48" s="51"/>
      <c r="M48" s="52" t="s">
        <v>360</v>
      </c>
      <c r="N48" s="53" t="s">
        <v>361</v>
      </c>
      <c r="O48" s="53" t="s">
        <v>28</v>
      </c>
      <c r="P48" s="53" t="s">
        <v>29</v>
      </c>
      <c r="Q48" s="53" t="s">
        <v>362</v>
      </c>
      <c r="R48" s="53" t="s">
        <v>363</v>
      </c>
      <c r="S48" s="53" t="s">
        <v>364</v>
      </c>
      <c r="T48" s="53" t="s">
        <v>365</v>
      </c>
    </row>
    <row r="49" spans="1:20">
      <c r="A49" s="54">
        <v>2023</v>
      </c>
      <c r="B49" s="13">
        <v>164397</v>
      </c>
      <c r="C49" s="11">
        <v>0.76006269244639246</v>
      </c>
      <c r="D49" s="11">
        <v>0.75364875364875361</v>
      </c>
      <c r="E49" s="11">
        <v>0.80738244635525602</v>
      </c>
      <c r="F49" s="11">
        <v>0.66578341013824882</v>
      </c>
      <c r="G49" s="11">
        <v>0.8345721522340126</v>
      </c>
      <c r="H49" s="11">
        <v>0.75501541828818652</v>
      </c>
      <c r="I49" s="11">
        <v>0.80763483877187059</v>
      </c>
      <c r="L49" s="54">
        <v>2023</v>
      </c>
      <c r="M49" s="13">
        <v>330414</v>
      </c>
      <c r="N49" s="11">
        <v>0.90576496066229883</v>
      </c>
      <c r="O49" s="11">
        <v>0.89714231742000483</v>
      </c>
      <c r="P49" s="11">
        <v>0.93699400727235871</v>
      </c>
      <c r="Q49" s="11">
        <v>0.76673749171076311</v>
      </c>
      <c r="R49" s="11">
        <v>0.94107920618496455</v>
      </c>
      <c r="S49" s="11">
        <v>0.88545152495489121</v>
      </c>
      <c r="T49" s="11">
        <v>0.95092599137626355</v>
      </c>
    </row>
    <row r="50" spans="1:20">
      <c r="A50" s="72" t="s">
        <v>406</v>
      </c>
      <c r="B50" s="13">
        <v>139809</v>
      </c>
      <c r="C50" s="11">
        <v>0.75969114402773397</v>
      </c>
      <c r="D50" s="11">
        <v>0.75372799606770913</v>
      </c>
      <c r="E50" s="11">
        <v>0.8053010009868885</v>
      </c>
      <c r="F50" s="11">
        <v>0.66536155634405969</v>
      </c>
      <c r="G50" s="11">
        <v>0.83505043791054112</v>
      </c>
      <c r="H50" s="11">
        <v>0.75554499554499555</v>
      </c>
      <c r="I50" s="11">
        <v>0.80419535832695743</v>
      </c>
      <c r="L50" s="72" t="s">
        <v>406</v>
      </c>
      <c r="M50" s="13">
        <v>394905</v>
      </c>
      <c r="N50" s="11">
        <v>0.89734413132098112</v>
      </c>
      <c r="O50" s="11">
        <v>0.88821224362689555</v>
      </c>
      <c r="P50" s="11">
        <v>0.93129844649577043</v>
      </c>
      <c r="Q50" s="11">
        <v>0.76103125799452342</v>
      </c>
      <c r="R50" s="11">
        <v>0.94034811876571178</v>
      </c>
      <c r="S50" s="11">
        <v>0.87571302164451281</v>
      </c>
      <c r="T50" s="11">
        <v>0.94685199716025858</v>
      </c>
    </row>
  </sheetData>
  <mergeCells count="10">
    <mergeCell ref="A41:I41"/>
    <mergeCell ref="L41:T41"/>
    <mergeCell ref="A47:I47"/>
    <mergeCell ref="L47:T47"/>
    <mergeCell ref="A3:E3"/>
    <mergeCell ref="M3:Q3"/>
    <mergeCell ref="A29:I29"/>
    <mergeCell ref="L29:T29"/>
    <mergeCell ref="A35:I35"/>
    <mergeCell ref="L35:T3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DCB90E14FB264DB6503D6A84AEC64F" ma:contentTypeVersion="19" ma:contentTypeDescription="Create a new document." ma:contentTypeScope="" ma:versionID="22c8720e9c8b32cf60fe2b1f64258218">
  <xsd:schema xmlns:xsd="http://www.w3.org/2001/XMLSchema" xmlns:xs="http://www.w3.org/2001/XMLSchema" xmlns:p="http://schemas.microsoft.com/office/2006/metadata/properties" xmlns:ns1="http://schemas.microsoft.com/sharepoint/v3" xmlns:ns2="d339d5ed-4b9c-4f39-b600-367bc72b8aa2" xmlns:ns3="f996994f-c7f3-4d4f-bc5f-c25091af035b" targetNamespace="http://schemas.microsoft.com/office/2006/metadata/properties" ma:root="true" ma:fieldsID="43cd2c092a4f843c18869f4290282f6c" ns1:_="" ns2:_="" ns3:_="">
    <xsd:import namespace="http://schemas.microsoft.com/sharepoint/v3"/>
    <xsd:import namespace="d339d5ed-4b9c-4f39-b600-367bc72b8aa2"/>
    <xsd:import namespace="f996994f-c7f3-4d4f-bc5f-c25091af03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39d5ed-4b9c-4f39-b600-367bc72b8a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f54ee82-8af7-4db5-bda0-11c9b8bb07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96994f-c7f3-4d4f-bc5f-c25091af035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7b83e2-822e-47ca-9352-b3068bc4914a}" ma:internalName="TaxCatchAll" ma:showField="CatchAllData" ma:web="f996994f-c7f3-4d4f-bc5f-c25091af03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339d5ed-4b9c-4f39-b600-367bc72b8aa2">
      <Terms xmlns="http://schemas.microsoft.com/office/infopath/2007/PartnerControls"/>
    </lcf76f155ced4ddcb4097134ff3c332f>
    <TaxCatchAll xmlns="f996994f-c7f3-4d4f-bc5f-c25091af035b" xsi:nil="true"/>
  </documentManagement>
</p:properties>
</file>

<file path=customXml/itemProps1.xml><?xml version="1.0" encoding="utf-8"?>
<ds:datastoreItem xmlns:ds="http://schemas.openxmlformats.org/officeDocument/2006/customXml" ds:itemID="{F31F6625-A767-48C5-8028-E36002CDD17F}"/>
</file>

<file path=customXml/itemProps2.xml><?xml version="1.0" encoding="utf-8"?>
<ds:datastoreItem xmlns:ds="http://schemas.openxmlformats.org/officeDocument/2006/customXml" ds:itemID="{17ACE15C-077D-45C3-8ACA-F954F28C75F0}"/>
</file>

<file path=customXml/itemProps3.xml><?xml version="1.0" encoding="utf-8"?>
<ds:datastoreItem xmlns:ds="http://schemas.openxmlformats.org/officeDocument/2006/customXml" ds:itemID="{47D341A8-FAFF-4AA0-B133-20AE09D1B8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Causey</dc:creator>
  <cp:keywords/>
  <dc:description/>
  <cp:lastModifiedBy>Jennifer Causey</cp:lastModifiedBy>
  <cp:revision/>
  <dcterms:created xsi:type="dcterms:W3CDTF">2024-08-22T15:31:38Z</dcterms:created>
  <dcterms:modified xsi:type="dcterms:W3CDTF">2026-08-20T15:05:58Z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0x010100B0DCB90E14FB264DB6503D6A84AEC64F</vt:lpwstr>
  </property>
</Properties>
</file>